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ya M\Desktop\Английский-Французский 1\Английский-Французский 2\1 Хатимаки\"/>
    </mc:Choice>
  </mc:AlternateContent>
  <xr:revisionPtr revIDLastSave="0" documentId="13_ncr:1_{358ABD91-99E9-4515-92E2-F32625978F9D}" xr6:coauthVersionLast="47" xr6:coauthVersionMax="47" xr10:uidLastSave="{00000000-0000-0000-0000-000000000000}"/>
  <bookViews>
    <workbookView xWindow="-103" yWindow="-103" windowWidth="16663" windowHeight="8863" tabRatio="605" activeTab="4" xr2:uid="{CF4D3717-9416-40BA-97A9-DD0A8BA7E068}"/>
  </bookViews>
  <sheets>
    <sheet name="Титул" sheetId="7" r:id="rId1"/>
    <sheet name="Инвестиции" sheetId="1" r:id="rId2"/>
    <sheet name="Выручка" sheetId="4" r:id="rId3"/>
    <sheet name="Расходы" sheetId="10" r:id="rId4"/>
    <sheet name="P&amp;L" sheetId="2" r:id="rId5"/>
  </sheets>
  <externalReferences>
    <externalReference r:id="rId6"/>
  </externalReferences>
  <definedNames>
    <definedName name="Маржинальность" localSheetId="3">Расходы!#REF!</definedName>
    <definedName name="Маржинальность">Выручка!#REF!</definedName>
    <definedName name="Маржинальность_товара" localSheetId="3">Расходы!#REF!</definedName>
    <definedName name="Маржинальность_товара">Выручка!#REF!</definedName>
    <definedName name="Среднее_колво_чеков">'[1]Исходные данные'!$D$26</definedName>
    <definedName name="Средний_чек">'[1]Исходные данные'!$D$25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G19" i="2" s="1"/>
  <c r="G17" i="1"/>
  <c r="D18" i="1"/>
  <c r="G18" i="1" s="1"/>
  <c r="D19" i="1"/>
  <c r="G19" i="1" s="1"/>
  <c r="G20" i="1"/>
  <c r="G21" i="1"/>
  <c r="G22" i="1"/>
  <c r="G27" i="1"/>
  <c r="G28" i="1"/>
  <c r="G29" i="1"/>
  <c r="G30" i="1"/>
  <c r="G35" i="1"/>
  <c r="G36" i="1"/>
  <c r="G37" i="1"/>
  <c r="G38" i="1"/>
  <c r="G39" i="1"/>
  <c r="D7" i="10"/>
  <c r="E11" i="10" s="1"/>
  <c r="E10" i="10"/>
  <c r="E35" i="2" s="1"/>
  <c r="F40" i="1"/>
  <c r="G41" i="1"/>
  <c r="E47" i="1"/>
  <c r="G47" i="1"/>
  <c r="E48" i="1"/>
  <c r="G48" i="1" s="1"/>
  <c r="E50" i="1"/>
  <c r="G50" i="1" s="1"/>
  <c r="G51" i="1"/>
  <c r="G52" i="1"/>
  <c r="E54" i="1"/>
  <c r="G54" i="1" s="1"/>
  <c r="E55" i="1"/>
  <c r="G55" i="1"/>
  <c r="E56" i="1"/>
  <c r="G56" i="1" s="1"/>
  <c r="D26" i="2"/>
  <c r="K26" i="2" s="1"/>
  <c r="E26" i="2"/>
  <c r="D27" i="2"/>
  <c r="E27" i="2"/>
  <c r="F27" i="2" s="1"/>
  <c r="D28" i="2"/>
  <c r="H28" i="2" s="1"/>
  <c r="E28" i="2"/>
  <c r="E32" i="2"/>
  <c r="E39" i="2"/>
  <c r="E40" i="2"/>
  <c r="E41" i="2"/>
  <c r="E42" i="2"/>
  <c r="E43" i="2"/>
  <c r="E44" i="2"/>
  <c r="F44" i="2" s="1"/>
  <c r="E45" i="2"/>
  <c r="G45" i="2" s="1"/>
  <c r="F45" i="2"/>
  <c r="D26" i="10"/>
  <c r="E49" i="2"/>
  <c r="E50" i="2"/>
  <c r="H50" i="2" s="1"/>
  <c r="F50" i="2"/>
  <c r="E53" i="2"/>
  <c r="F53" i="2" s="1"/>
  <c r="E54" i="2"/>
  <c r="F54" i="2" s="1"/>
  <c r="E55" i="2"/>
  <c r="F55" i="2" s="1"/>
  <c r="E56" i="2"/>
  <c r="F56" i="2"/>
  <c r="E57" i="2"/>
  <c r="F57" i="2" s="1"/>
  <c r="E58" i="2"/>
  <c r="X58" i="2" s="1"/>
  <c r="E59" i="2"/>
  <c r="F59" i="2" s="1"/>
  <c r="E60" i="2"/>
  <c r="I60" i="2" s="1"/>
  <c r="F60" i="2"/>
  <c r="E61" i="2"/>
  <c r="F61" i="2" s="1"/>
  <c r="E62" i="2"/>
  <c r="F62" i="2" s="1"/>
  <c r="E65" i="2"/>
  <c r="E66" i="2"/>
  <c r="E78" i="2"/>
  <c r="F78" i="2" s="1"/>
  <c r="G50" i="2"/>
  <c r="G53" i="2"/>
  <c r="G56" i="2"/>
  <c r="G59" i="2"/>
  <c r="H45" i="2"/>
  <c r="I27" i="2"/>
  <c r="Q27" i="2"/>
  <c r="S45" i="2"/>
  <c r="S58" i="2"/>
  <c r="S61" i="2"/>
  <c r="E79" i="2"/>
  <c r="Q45" i="2"/>
  <c r="Q50" i="2"/>
  <c r="Q55" i="2"/>
  <c r="P45" i="2"/>
  <c r="P50" i="2"/>
  <c r="P61" i="2"/>
  <c r="O45" i="2"/>
  <c r="O50" i="2"/>
  <c r="O56" i="2"/>
  <c r="O60" i="2"/>
  <c r="I50" i="2"/>
  <c r="I56" i="2"/>
  <c r="I61" i="2"/>
  <c r="J45" i="2"/>
  <c r="J56" i="2"/>
  <c r="J60" i="2"/>
  <c r="K45" i="2"/>
  <c r="K50" i="2"/>
  <c r="K56" i="2"/>
  <c r="K60" i="2"/>
  <c r="K61" i="2"/>
  <c r="L45" i="2"/>
  <c r="L50" i="2"/>
  <c r="L53" i="2"/>
  <c r="L56" i="2"/>
  <c r="M50" i="2"/>
  <c r="M56" i="2"/>
  <c r="M61" i="2"/>
  <c r="N45" i="2"/>
  <c r="N53" i="2"/>
  <c r="N56" i="2"/>
  <c r="T45" i="2"/>
  <c r="T50" i="2"/>
  <c r="T56" i="2"/>
  <c r="T58" i="2"/>
  <c r="T60" i="2"/>
  <c r="U50" i="2"/>
  <c r="U55" i="2"/>
  <c r="U56" i="2"/>
  <c r="U60" i="2"/>
  <c r="V45" i="2"/>
  <c r="V50" i="2"/>
  <c r="V53" i="2"/>
  <c r="V56" i="2"/>
  <c r="V58" i="2"/>
  <c r="V61" i="2"/>
  <c r="W45" i="2"/>
  <c r="W56" i="2"/>
  <c r="W59" i="2"/>
  <c r="W60" i="2"/>
  <c r="W62" i="2"/>
  <c r="X45" i="2"/>
  <c r="X50" i="2"/>
  <c r="X56" i="2"/>
  <c r="X59" i="2"/>
  <c r="X62" i="2"/>
  <c r="Y45" i="2"/>
  <c r="Y55" i="2"/>
  <c r="Y56" i="2"/>
  <c r="Y57" i="2"/>
  <c r="Y59" i="2"/>
  <c r="Y61" i="2"/>
  <c r="Z45" i="2"/>
  <c r="Z53" i="2"/>
  <c r="Z55" i="2"/>
  <c r="Z56" i="2"/>
  <c r="Z59" i="2"/>
  <c r="Z61" i="2"/>
  <c r="AA50" i="2"/>
  <c r="AA55" i="2"/>
  <c r="AA56" i="2"/>
  <c r="AB45" i="2"/>
  <c r="AB50" i="2"/>
  <c r="AB56" i="2"/>
  <c r="AB61" i="2"/>
  <c r="AB62" i="2"/>
  <c r="AC45" i="2"/>
  <c r="AC50" i="2"/>
  <c r="AC56" i="2"/>
  <c r="AC60" i="2"/>
  <c r="AC61" i="2"/>
  <c r="AD45" i="2"/>
  <c r="AD50" i="2"/>
  <c r="AD56" i="2"/>
  <c r="AD58" i="2"/>
  <c r="AD60" i="2"/>
  <c r="F18" i="2"/>
  <c r="C62" i="2"/>
  <c r="C32" i="2"/>
  <c r="C65" i="2"/>
  <c r="D65" i="2"/>
  <c r="D43" i="2"/>
  <c r="C43" i="2"/>
  <c r="C60" i="2"/>
  <c r="C53" i="2"/>
  <c r="C54" i="2"/>
  <c r="C55" i="2"/>
  <c r="C56" i="2"/>
  <c r="C57" i="2"/>
  <c r="C58" i="2"/>
  <c r="C59" i="2"/>
  <c r="C61" i="2"/>
  <c r="C89" i="2"/>
  <c r="C40" i="2"/>
  <c r="C41" i="2"/>
  <c r="C42" i="2"/>
  <c r="C39" i="2"/>
  <c r="D66" i="2"/>
  <c r="C66" i="2"/>
  <c r="C64" i="2"/>
  <c r="C52" i="2"/>
  <c r="C50" i="2"/>
  <c r="C48" i="2"/>
  <c r="C34" i="2"/>
  <c r="C45" i="2"/>
  <c r="C44" i="2"/>
  <c r="C38" i="2"/>
  <c r="C36" i="2"/>
  <c r="C35" i="2"/>
  <c r="C78" i="2"/>
  <c r="C79" i="2"/>
  <c r="D21" i="4"/>
  <c r="E21" i="4"/>
  <c r="F21" i="4"/>
  <c r="G21" i="4" s="1"/>
  <c r="H21" i="4" s="1"/>
  <c r="I21" i="4" s="1"/>
  <c r="J21" i="4" s="1"/>
  <c r="K21" i="4" s="1"/>
  <c r="L21" i="4" s="1"/>
  <c r="M21" i="4" s="1"/>
  <c r="N21" i="4" s="1"/>
  <c r="O22" i="4"/>
  <c r="U44" i="2" l="1"/>
  <c r="P57" i="2"/>
  <c r="X54" i="2"/>
  <c r="AD44" i="2"/>
  <c r="AC53" i="2"/>
  <c r="AB53" i="2"/>
  <c r="AA60" i="2"/>
  <c r="AA44" i="2"/>
  <c r="N60" i="2"/>
  <c r="L60" i="2"/>
  <c r="I57" i="2"/>
  <c r="S53" i="2"/>
  <c r="H57" i="2"/>
  <c r="AB54" i="2"/>
  <c r="AB44" i="2"/>
  <c r="Z57" i="2"/>
  <c r="K57" i="2"/>
  <c r="AB60" i="2"/>
  <c r="Y53" i="2"/>
  <c r="W54" i="2"/>
  <c r="V57" i="2"/>
  <c r="M57" i="2"/>
  <c r="J53" i="2"/>
  <c r="O53" i="2"/>
  <c r="P60" i="2"/>
  <c r="P44" i="2"/>
  <c r="H54" i="2"/>
  <c r="G57" i="2"/>
  <c r="O26" i="2"/>
  <c r="G26" i="2"/>
  <c r="G40" i="2" s="1"/>
  <c r="L26" i="2"/>
  <c r="L40" i="2" s="1"/>
  <c r="F35" i="2"/>
  <c r="E64" i="1" s="1"/>
  <c r="G64" i="1" s="1"/>
  <c r="I35" i="2"/>
  <c r="H35" i="2"/>
  <c r="AD35" i="2"/>
  <c r="E40" i="1"/>
  <c r="G40" i="1" s="1"/>
  <c r="E36" i="2"/>
  <c r="U36" i="2" s="1"/>
  <c r="E49" i="1"/>
  <c r="G49" i="1" s="1"/>
  <c r="V35" i="2"/>
  <c r="G31" i="1"/>
  <c r="Q35" i="2"/>
  <c r="M35" i="2"/>
  <c r="Y35" i="2"/>
  <c r="J35" i="2"/>
  <c r="Z35" i="2"/>
  <c r="G57" i="1"/>
  <c r="AD55" i="2"/>
  <c r="AC58" i="2"/>
  <c r="AB58" i="2"/>
  <c r="AA58" i="2"/>
  <c r="U58" i="2"/>
  <c r="T55" i="2"/>
  <c r="K36" i="2"/>
  <c r="AD59" i="2"/>
  <c r="AD54" i="2"/>
  <c r="AC62" i="2"/>
  <c r="AC57" i="2"/>
  <c r="AB57" i="2"/>
  <c r="AA62" i="2"/>
  <c r="AA45" i="2"/>
  <c r="AE45" i="2" s="1"/>
  <c r="Z60" i="2"/>
  <c r="Z50" i="2"/>
  <c r="Y60" i="2"/>
  <c r="Y50" i="2"/>
  <c r="X60" i="2"/>
  <c r="X55" i="2"/>
  <c r="X44" i="2"/>
  <c r="W58" i="2"/>
  <c r="W50" i="2"/>
  <c r="V60" i="2"/>
  <c r="V54" i="2"/>
  <c r="U62" i="2"/>
  <c r="U45" i="2"/>
  <c r="T59" i="2"/>
  <c r="T54" i="2"/>
  <c r="N59" i="2"/>
  <c r="N50" i="2"/>
  <c r="M60" i="2"/>
  <c r="M45" i="2"/>
  <c r="L55" i="2"/>
  <c r="L44" i="2"/>
  <c r="J59" i="2"/>
  <c r="J50" i="2"/>
  <c r="R50" i="2" s="1"/>
  <c r="I45" i="2"/>
  <c r="O55" i="2"/>
  <c r="O44" i="2"/>
  <c r="P55" i="2"/>
  <c r="Q57" i="2"/>
  <c r="Q44" i="2"/>
  <c r="S59" i="2"/>
  <c r="S50" i="2"/>
  <c r="N35" i="2"/>
  <c r="U35" i="2"/>
  <c r="U34" i="2" s="1"/>
  <c r="AC35" i="2"/>
  <c r="F58" i="2"/>
  <c r="F52" i="2" s="1"/>
  <c r="G42" i="1"/>
  <c r="AD62" i="2"/>
  <c r="AC54" i="2"/>
  <c r="AC44" i="2"/>
  <c r="AB59" i="2"/>
  <c r="AB55" i="2"/>
  <c r="AA59" i="2"/>
  <c r="AA54" i="2"/>
  <c r="Z62" i="2"/>
  <c r="Z58" i="2"/>
  <c r="Z54" i="2"/>
  <c r="Y62" i="2"/>
  <c r="Y58" i="2"/>
  <c r="Y54" i="2"/>
  <c r="Y44" i="2"/>
  <c r="W55" i="2"/>
  <c r="V62" i="2"/>
  <c r="U59" i="2"/>
  <c r="U54" i="2"/>
  <c r="T62" i="2"/>
  <c r="N55" i="2"/>
  <c r="N44" i="2"/>
  <c r="L59" i="2"/>
  <c r="J55" i="2"/>
  <c r="J44" i="2"/>
  <c r="O59" i="2"/>
  <c r="S62" i="2"/>
  <c r="S55" i="2"/>
  <c r="S44" i="2"/>
  <c r="H55" i="2"/>
  <c r="E89" i="2"/>
  <c r="E88" i="2" s="1"/>
  <c r="G23" i="1"/>
  <c r="AD61" i="2"/>
  <c r="AD57" i="2"/>
  <c r="AD53" i="2"/>
  <c r="AC59" i="2"/>
  <c r="AC55" i="2"/>
  <c r="AA61" i="2"/>
  <c r="AA57" i="2"/>
  <c r="AA53" i="2"/>
  <c r="Z44" i="2"/>
  <c r="X61" i="2"/>
  <c r="X57" i="2"/>
  <c r="X53" i="2"/>
  <c r="X52" i="2" s="1"/>
  <c r="W44" i="2"/>
  <c r="V59" i="2"/>
  <c r="V55" i="2"/>
  <c r="U61" i="2"/>
  <c r="U57" i="2"/>
  <c r="U53" i="2"/>
  <c r="T44" i="2"/>
  <c r="N57" i="2"/>
  <c r="M55" i="2"/>
  <c r="M44" i="2"/>
  <c r="L57" i="2"/>
  <c r="K55" i="2"/>
  <c r="K44" i="2"/>
  <c r="J57" i="2"/>
  <c r="I55" i="2"/>
  <c r="I44" i="2"/>
  <c r="O57" i="2"/>
  <c r="P53" i="2"/>
  <c r="Q61" i="2"/>
  <c r="Q53" i="2"/>
  <c r="P35" i="2"/>
  <c r="L35" i="2"/>
  <c r="S35" i="2"/>
  <c r="W35" i="2"/>
  <c r="AA35" i="2"/>
  <c r="P27" i="2"/>
  <c r="N27" i="2"/>
  <c r="K27" i="2"/>
  <c r="H61" i="2"/>
  <c r="H44" i="2"/>
  <c r="H27" i="2"/>
  <c r="H65" i="2" s="1"/>
  <c r="G44" i="2"/>
  <c r="W61" i="2"/>
  <c r="W57" i="2"/>
  <c r="W53" i="2"/>
  <c r="V44" i="2"/>
  <c r="T61" i="2"/>
  <c r="T57" i="2"/>
  <c r="T53" i="2"/>
  <c r="N61" i="2"/>
  <c r="M59" i="2"/>
  <c r="M53" i="2"/>
  <c r="L61" i="2"/>
  <c r="K59" i="2"/>
  <c r="K53" i="2"/>
  <c r="J61" i="2"/>
  <c r="I59" i="2"/>
  <c r="I53" i="2"/>
  <c r="O61" i="2"/>
  <c r="P59" i="2"/>
  <c r="Q59" i="2"/>
  <c r="S57" i="2"/>
  <c r="O35" i="2"/>
  <c r="K35" i="2"/>
  <c r="T35" i="2"/>
  <c r="X35" i="2"/>
  <c r="AB35" i="2"/>
  <c r="P26" i="2"/>
  <c r="P23" i="2" s="1"/>
  <c r="M27" i="2"/>
  <c r="H59" i="2"/>
  <c r="H53" i="2"/>
  <c r="G61" i="2"/>
  <c r="G55" i="2"/>
  <c r="G35" i="2"/>
  <c r="O27" i="2"/>
  <c r="L27" i="2"/>
  <c r="J27" i="2"/>
  <c r="G27" i="2"/>
  <c r="H19" i="2"/>
  <c r="G18" i="2"/>
  <c r="G62" i="2"/>
  <c r="Q62" i="2"/>
  <c r="P62" i="2"/>
  <c r="H62" i="2"/>
  <c r="O62" i="2"/>
  <c r="I62" i="2"/>
  <c r="K62" i="2"/>
  <c r="L62" i="2"/>
  <c r="M62" i="2"/>
  <c r="N62" i="2"/>
  <c r="J62" i="2"/>
  <c r="H60" i="2"/>
  <c r="S60" i="2"/>
  <c r="Q60" i="2"/>
  <c r="G60" i="2"/>
  <c r="G58" i="2"/>
  <c r="Q58" i="2"/>
  <c r="P58" i="2"/>
  <c r="O58" i="2"/>
  <c r="I58" i="2"/>
  <c r="K58" i="2"/>
  <c r="L58" i="2"/>
  <c r="M58" i="2"/>
  <c r="N58" i="2"/>
  <c r="H58" i="2"/>
  <c r="J58" i="2"/>
  <c r="H56" i="2"/>
  <c r="S56" i="2"/>
  <c r="AE56" i="2" s="1"/>
  <c r="P56" i="2"/>
  <c r="Q56" i="2"/>
  <c r="G54" i="2"/>
  <c r="Q54" i="2"/>
  <c r="P54" i="2"/>
  <c r="O54" i="2"/>
  <c r="S54" i="2"/>
  <c r="I54" i="2"/>
  <c r="K54" i="2"/>
  <c r="L54" i="2"/>
  <c r="L52" i="2" s="1"/>
  <c r="M54" i="2"/>
  <c r="N54" i="2"/>
  <c r="J54" i="2"/>
  <c r="F36" i="2"/>
  <c r="F34" i="2" s="1"/>
  <c r="AA36" i="2"/>
  <c r="AA34" i="2" s="1"/>
  <c r="L36" i="2"/>
  <c r="P36" i="2"/>
  <c r="P34" i="2" s="1"/>
  <c r="Z36" i="2"/>
  <c r="Z34" i="2" s="1"/>
  <c r="V36" i="2"/>
  <c r="Q36" i="2"/>
  <c r="Q34" i="2" s="1"/>
  <c r="AB36" i="2"/>
  <c r="Y36" i="2"/>
  <c r="Y34" i="2" s="1"/>
  <c r="J36" i="2"/>
  <c r="O40" i="2"/>
  <c r="K40" i="2"/>
  <c r="H26" i="2"/>
  <c r="F26" i="2"/>
  <c r="J26" i="2"/>
  <c r="N26" i="2"/>
  <c r="I26" i="2"/>
  <c r="M26" i="2"/>
  <c r="Q26" i="2"/>
  <c r="H43" i="2"/>
  <c r="F28" i="2"/>
  <c r="G28" i="2"/>
  <c r="I28" i="2"/>
  <c r="J28" i="2"/>
  <c r="K28" i="2"/>
  <c r="L28" i="2"/>
  <c r="M28" i="2"/>
  <c r="N28" i="2"/>
  <c r="O28" i="2"/>
  <c r="P28" i="2"/>
  <c r="Q28" i="2"/>
  <c r="Q65" i="2" s="1"/>
  <c r="V52" i="2" l="1"/>
  <c r="AD52" i="2"/>
  <c r="P65" i="2"/>
  <c r="P64" i="2" s="1"/>
  <c r="J34" i="2"/>
  <c r="V34" i="2"/>
  <c r="R59" i="2"/>
  <c r="AE61" i="2"/>
  <c r="AE60" i="2"/>
  <c r="H36" i="2"/>
  <c r="H34" i="2" s="1"/>
  <c r="AE62" i="2"/>
  <c r="Z52" i="2"/>
  <c r="AE59" i="2"/>
  <c r="AF59" i="2" s="1"/>
  <c r="L34" i="2"/>
  <c r="R55" i="2"/>
  <c r="Y52" i="2"/>
  <c r="K34" i="2"/>
  <c r="AB52" i="2"/>
  <c r="AE53" i="2"/>
  <c r="R45" i="2"/>
  <c r="AF45" i="2" s="1"/>
  <c r="AE58" i="2"/>
  <c r="AE50" i="2"/>
  <c r="AF50" i="2" s="1"/>
  <c r="AE55" i="2"/>
  <c r="AF55" i="2" s="1"/>
  <c r="P43" i="2"/>
  <c r="R27" i="2"/>
  <c r="O23" i="2"/>
  <c r="L23" i="2"/>
  <c r="L69" i="2" s="1"/>
  <c r="L68" i="2" s="1"/>
  <c r="K23" i="2"/>
  <c r="K46" i="2" s="1"/>
  <c r="O36" i="2"/>
  <c r="O34" i="2" s="1"/>
  <c r="M36" i="2"/>
  <c r="M34" i="2" s="1"/>
  <c r="AD36" i="2"/>
  <c r="AD34" i="2" s="1"/>
  <c r="S36" i="2"/>
  <c r="S34" i="2" s="1"/>
  <c r="AC36" i="2"/>
  <c r="AC34" i="2" s="1"/>
  <c r="X36" i="2"/>
  <c r="X34" i="2" s="1"/>
  <c r="T36" i="2"/>
  <c r="T34" i="2" s="1"/>
  <c r="I36" i="2"/>
  <c r="I34" i="2" s="1"/>
  <c r="G36" i="2"/>
  <c r="G34" i="2" s="1"/>
  <c r="W36" i="2"/>
  <c r="N36" i="2"/>
  <c r="N34" i="2" s="1"/>
  <c r="R35" i="2"/>
  <c r="G59" i="1"/>
  <c r="F86" i="2" s="1"/>
  <c r="K52" i="2"/>
  <c r="R57" i="2"/>
  <c r="R61" i="2"/>
  <c r="T52" i="2"/>
  <c r="W52" i="2"/>
  <c r="R44" i="2"/>
  <c r="AB34" i="2"/>
  <c r="M52" i="2"/>
  <c r="R56" i="2"/>
  <c r="R53" i="2"/>
  <c r="AC52" i="2"/>
  <c r="P69" i="2"/>
  <c r="P68" i="2" s="1"/>
  <c r="P72" i="2"/>
  <c r="P71" i="2" s="1"/>
  <c r="P39" i="2"/>
  <c r="P49" i="2"/>
  <c r="P48" i="2" s="1"/>
  <c r="P66" i="2"/>
  <c r="K72" i="2"/>
  <c r="K71" i="2" s="1"/>
  <c r="O69" i="2"/>
  <c r="O68" i="2" s="1"/>
  <c r="O72" i="2"/>
  <c r="O71" i="2" s="1"/>
  <c r="O66" i="2"/>
  <c r="O49" i="2"/>
  <c r="O48" i="2" s="1"/>
  <c r="AF61" i="2"/>
  <c r="P40" i="2"/>
  <c r="W34" i="2"/>
  <c r="N52" i="2"/>
  <c r="I52" i="2"/>
  <c r="Q52" i="2"/>
  <c r="R60" i="2"/>
  <c r="AE35" i="2"/>
  <c r="AE44" i="2"/>
  <c r="AA52" i="2"/>
  <c r="R54" i="2"/>
  <c r="U52" i="2"/>
  <c r="AE57" i="2"/>
  <c r="M40" i="2"/>
  <c r="M23" i="2"/>
  <c r="R58" i="2"/>
  <c r="H52" i="2"/>
  <c r="N65" i="2"/>
  <c r="N43" i="2"/>
  <c r="J43" i="2"/>
  <c r="J65" i="2"/>
  <c r="J40" i="2"/>
  <c r="J23" i="2"/>
  <c r="O46" i="2"/>
  <c r="O42" i="2"/>
  <c r="AF56" i="2"/>
  <c r="AF53" i="2"/>
  <c r="O32" i="2"/>
  <c r="L41" i="2"/>
  <c r="L66" i="2"/>
  <c r="L46" i="2"/>
  <c r="L42" i="2"/>
  <c r="M43" i="2"/>
  <c r="M65" i="2"/>
  <c r="I65" i="2"/>
  <c r="I43" i="2"/>
  <c r="Q43" i="2"/>
  <c r="I40" i="2"/>
  <c r="I23" i="2"/>
  <c r="F40" i="2"/>
  <c r="F23" i="2"/>
  <c r="R26" i="2"/>
  <c r="S52" i="2"/>
  <c r="AE54" i="2"/>
  <c r="P46" i="2"/>
  <c r="P41" i="2"/>
  <c r="P42" i="2"/>
  <c r="L43" i="2"/>
  <c r="L65" i="2"/>
  <c r="G65" i="2"/>
  <c r="G43" i="2"/>
  <c r="G52" i="2"/>
  <c r="H23" i="2"/>
  <c r="H40" i="2"/>
  <c r="K41" i="2"/>
  <c r="K42" i="2"/>
  <c r="K66" i="2"/>
  <c r="K39" i="2"/>
  <c r="O52" i="2"/>
  <c r="L39" i="2"/>
  <c r="P32" i="2"/>
  <c r="I19" i="2"/>
  <c r="H18" i="2"/>
  <c r="O65" i="2"/>
  <c r="O64" i="2" s="1"/>
  <c r="O43" i="2"/>
  <c r="K65" i="2"/>
  <c r="K43" i="2"/>
  <c r="F65" i="2"/>
  <c r="R28" i="2"/>
  <c r="F43" i="2"/>
  <c r="Q40" i="2"/>
  <c r="Q23" i="2"/>
  <c r="N40" i="2"/>
  <c r="N23" i="2"/>
  <c r="O41" i="2"/>
  <c r="J52" i="2"/>
  <c r="P52" i="2"/>
  <c r="R62" i="2"/>
  <c r="AF62" i="2" s="1"/>
  <c r="O39" i="2"/>
  <c r="G23" i="2"/>
  <c r="AF60" i="2" l="1"/>
  <c r="K32" i="2"/>
  <c r="K49" i="2"/>
  <c r="K48" i="2" s="1"/>
  <c r="K69" i="2"/>
  <c r="K68" i="2" s="1"/>
  <c r="L32" i="2"/>
  <c r="L49" i="2"/>
  <c r="L48" i="2" s="1"/>
  <c r="AF57" i="2"/>
  <c r="AF54" i="2"/>
  <c r="P38" i="2"/>
  <c r="AF44" i="2"/>
  <c r="R36" i="2"/>
  <c r="R52" i="2"/>
  <c r="AE34" i="2"/>
  <c r="L72" i="2"/>
  <c r="L71" i="2" s="1"/>
  <c r="R34" i="2"/>
  <c r="AE36" i="2"/>
  <c r="AF36" i="2" s="1"/>
  <c r="AF35" i="2"/>
  <c r="P30" i="2"/>
  <c r="P74" i="2" s="1"/>
  <c r="O38" i="2"/>
  <c r="Q69" i="2"/>
  <c r="Q68" i="2" s="1"/>
  <c r="Q72" i="2"/>
  <c r="H72" i="2"/>
  <c r="H69" i="2"/>
  <c r="H68" i="2" s="1"/>
  <c r="J72" i="2"/>
  <c r="J71" i="2" s="1"/>
  <c r="J69" i="2"/>
  <c r="J68" i="2" s="1"/>
  <c r="M69" i="2"/>
  <c r="M68" i="2" s="1"/>
  <c r="M72" i="2"/>
  <c r="M71" i="2" s="1"/>
  <c r="F72" i="2"/>
  <c r="F71" i="2" s="1"/>
  <c r="I72" i="2"/>
  <c r="I71" i="2" s="1"/>
  <c r="I69" i="2"/>
  <c r="I68" i="2" s="1"/>
  <c r="G69" i="2"/>
  <c r="G68" i="2" s="1"/>
  <c r="G72" i="2"/>
  <c r="G71" i="2" s="1"/>
  <c r="N69" i="2"/>
  <c r="N68" i="2" s="1"/>
  <c r="N72" i="2"/>
  <c r="N71" i="2" s="1"/>
  <c r="Q46" i="2"/>
  <c r="Q42" i="2"/>
  <c r="Q41" i="2"/>
  <c r="Q71" i="2"/>
  <c r="Q66" i="2"/>
  <c r="Q64" i="2" s="1"/>
  <c r="Q49" i="2"/>
  <c r="Q48" i="2" s="1"/>
  <c r="Q32" i="2"/>
  <c r="Q39" i="2"/>
  <c r="J19" i="2"/>
  <c r="I18" i="2"/>
  <c r="R65" i="2"/>
  <c r="O30" i="2"/>
  <c r="O74" i="2" s="1"/>
  <c r="J49" i="2"/>
  <c r="J48" i="2" s="1"/>
  <c r="J42" i="2"/>
  <c r="J46" i="2"/>
  <c r="J41" i="2"/>
  <c r="J39" i="2"/>
  <c r="J66" i="2"/>
  <c r="J64" i="2" s="1"/>
  <c r="J32" i="2"/>
  <c r="M49" i="2"/>
  <c r="M48" i="2" s="1"/>
  <c r="M66" i="2"/>
  <c r="M64" i="2" s="1"/>
  <c r="M42" i="2"/>
  <c r="M41" i="2"/>
  <c r="M46" i="2"/>
  <c r="M32" i="2"/>
  <c r="M39" i="2"/>
  <c r="G46" i="2"/>
  <c r="G42" i="2"/>
  <c r="G32" i="2"/>
  <c r="G66" i="2"/>
  <c r="G64" i="2" s="1"/>
  <c r="G41" i="2"/>
  <c r="G49" i="2"/>
  <c r="G48" i="2" s="1"/>
  <c r="G39" i="2"/>
  <c r="N49" i="2"/>
  <c r="N48" i="2" s="1"/>
  <c r="N42" i="2"/>
  <c r="N46" i="2"/>
  <c r="N66" i="2"/>
  <c r="N64" i="2" s="1"/>
  <c r="N41" i="2"/>
  <c r="N39" i="2"/>
  <c r="N32" i="2"/>
  <c r="L38" i="2"/>
  <c r="F46" i="2"/>
  <c r="H79" i="2"/>
  <c r="H78" i="2" s="1"/>
  <c r="H77" i="2" s="1"/>
  <c r="Q79" i="2"/>
  <c r="Q78" i="2" s="1"/>
  <c r="Q77" i="2" s="1"/>
  <c r="P79" i="2"/>
  <c r="P78" i="2" s="1"/>
  <c r="P77" i="2" s="1"/>
  <c r="F42" i="2"/>
  <c r="F79" i="2"/>
  <c r="R23" i="2"/>
  <c r="G79" i="2"/>
  <c r="G78" i="2" s="1"/>
  <c r="I79" i="2"/>
  <c r="I78" i="2" s="1"/>
  <c r="I77" i="2" s="1"/>
  <c r="J79" i="2"/>
  <c r="J78" i="2" s="1"/>
  <c r="J77" i="2" s="1"/>
  <c r="F41" i="2"/>
  <c r="K79" i="2"/>
  <c r="K78" i="2" s="1"/>
  <c r="K77" i="2" s="1"/>
  <c r="N79" i="2"/>
  <c r="N78" i="2" s="1"/>
  <c r="N77" i="2" s="1"/>
  <c r="M79" i="2"/>
  <c r="M78" i="2" s="1"/>
  <c r="M77" i="2" s="1"/>
  <c r="O79" i="2"/>
  <c r="O78" i="2" s="1"/>
  <c r="O77" i="2" s="1"/>
  <c r="L79" i="2"/>
  <c r="L78" i="2" s="1"/>
  <c r="L77" i="2" s="1"/>
  <c r="F32" i="2"/>
  <c r="F39" i="2"/>
  <c r="F66" i="2"/>
  <c r="F49" i="2"/>
  <c r="AE52" i="2"/>
  <c r="P75" i="2"/>
  <c r="I49" i="2"/>
  <c r="I48" i="2" s="1"/>
  <c r="I66" i="2"/>
  <c r="I64" i="2" s="1"/>
  <c r="I42" i="2"/>
  <c r="I46" i="2"/>
  <c r="I41" i="2"/>
  <c r="I32" i="2"/>
  <c r="I39" i="2"/>
  <c r="R43" i="2"/>
  <c r="K64" i="2"/>
  <c r="AF58" i="2"/>
  <c r="K38" i="2"/>
  <c r="H42" i="2"/>
  <c r="H46" i="2"/>
  <c r="H49" i="2"/>
  <c r="H48" i="2" s="1"/>
  <c r="H71" i="2"/>
  <c r="H66" i="2"/>
  <c r="H64" i="2" s="1"/>
  <c r="H39" i="2"/>
  <c r="H32" i="2"/>
  <c r="H41" i="2"/>
  <c r="L64" i="2"/>
  <c r="L30" i="2" s="1"/>
  <c r="L74" i="2" s="1"/>
  <c r="R40" i="2"/>
  <c r="K30" i="2" l="1"/>
  <c r="K74" i="2" s="1"/>
  <c r="AF52" i="2"/>
  <c r="AF34" i="2"/>
  <c r="M38" i="2"/>
  <c r="M30" i="2" s="1"/>
  <c r="M74" i="2" s="1"/>
  <c r="R68" i="2"/>
  <c r="P81" i="2"/>
  <c r="P82" i="2" s="1"/>
  <c r="Q38" i="2"/>
  <c r="L81" i="2"/>
  <c r="L82" i="2" s="1"/>
  <c r="L75" i="2"/>
  <c r="R66" i="2"/>
  <c r="R64" i="2" s="1"/>
  <c r="R42" i="2"/>
  <c r="O81" i="2"/>
  <c r="O82" i="2" s="1"/>
  <c r="O75" i="2"/>
  <c r="F64" i="2"/>
  <c r="Q30" i="2"/>
  <c r="Q74" i="2" s="1"/>
  <c r="F38" i="2"/>
  <c r="R39" i="2"/>
  <c r="R71" i="2"/>
  <c r="E66" i="1"/>
  <c r="G66" i="1" s="1"/>
  <c r="R41" i="2"/>
  <c r="R32" i="2"/>
  <c r="J38" i="2"/>
  <c r="J30" i="2" s="1"/>
  <c r="J74" i="2" s="1"/>
  <c r="K19" i="2"/>
  <c r="J18" i="2"/>
  <c r="R46" i="2"/>
  <c r="I38" i="2"/>
  <c r="I30" i="2" s="1"/>
  <c r="I74" i="2" s="1"/>
  <c r="G77" i="2"/>
  <c r="R78" i="2"/>
  <c r="N38" i="2"/>
  <c r="N30" i="2" s="1"/>
  <c r="N74" i="2" s="1"/>
  <c r="H38" i="2"/>
  <c r="H30" i="2" s="1"/>
  <c r="H74" i="2" s="1"/>
  <c r="R49" i="2"/>
  <c r="R48" i="2" s="1"/>
  <c r="F48" i="2"/>
  <c r="F77" i="2"/>
  <c r="R79" i="2"/>
  <c r="G38" i="2"/>
  <c r="G30" i="2" s="1"/>
  <c r="G74" i="2" s="1"/>
  <c r="K75" i="2"/>
  <c r="K81" i="2"/>
  <c r="F30" i="2" l="1"/>
  <c r="F74" i="2" s="1"/>
  <c r="F81" i="2" s="1"/>
  <c r="R77" i="2"/>
  <c r="I75" i="2"/>
  <c r="I81" i="2"/>
  <c r="I82" i="2" s="1"/>
  <c r="H75" i="2"/>
  <c r="H81" i="2"/>
  <c r="H82" i="2" s="1"/>
  <c r="N81" i="2"/>
  <c r="N82" i="2" s="1"/>
  <c r="N75" i="2"/>
  <c r="G81" i="2"/>
  <c r="G82" i="2" s="1"/>
  <c r="G75" i="2"/>
  <c r="F75" i="2"/>
  <c r="R74" i="2"/>
  <c r="R75" i="2" s="1"/>
  <c r="J75" i="2"/>
  <c r="J81" i="2"/>
  <c r="J82" i="2" s="1"/>
  <c r="M75" i="2"/>
  <c r="M81" i="2"/>
  <c r="M82" i="2" s="1"/>
  <c r="Q81" i="2"/>
  <c r="Q82" i="2" s="1"/>
  <c r="Q75" i="2"/>
  <c r="R30" i="2"/>
  <c r="L19" i="2"/>
  <c r="K18" i="2"/>
  <c r="E65" i="1"/>
  <c r="G65" i="1" s="1"/>
  <c r="G67" i="1" s="1"/>
  <c r="R38" i="2"/>
  <c r="K82" i="2"/>
  <c r="M19" i="2" l="1"/>
  <c r="L18" i="2"/>
  <c r="R81" i="2"/>
  <c r="R82" i="2" s="1"/>
  <c r="F82" i="2"/>
  <c r="G86" i="2"/>
  <c r="H86" i="2" s="1"/>
  <c r="I86" i="2" s="1"/>
  <c r="J86" i="2" s="1"/>
  <c r="K86" i="2" s="1"/>
  <c r="L86" i="2" s="1"/>
  <c r="M86" i="2" s="1"/>
  <c r="N86" i="2" s="1"/>
  <c r="O86" i="2" s="1"/>
  <c r="P86" i="2" s="1"/>
  <c r="Q86" i="2" s="1"/>
  <c r="R86" i="2" s="1"/>
  <c r="F83" i="2"/>
  <c r="G83" i="2" s="1"/>
  <c r="H83" i="2" s="1"/>
  <c r="I83" i="2" s="1"/>
  <c r="J83" i="2" s="1"/>
  <c r="K83" i="2" s="1"/>
  <c r="L83" i="2" s="1"/>
  <c r="M83" i="2" s="1"/>
  <c r="N83" i="2" s="1"/>
  <c r="O83" i="2" s="1"/>
  <c r="P83" i="2" s="1"/>
  <c r="Q83" i="2" s="1"/>
  <c r="R83" i="2" s="1"/>
  <c r="N19" i="2" l="1"/>
  <c r="M18" i="2"/>
  <c r="O19" i="2" l="1"/>
  <c r="N18" i="2"/>
  <c r="P19" i="2" l="1"/>
  <c r="O18" i="2"/>
  <c r="Q19" i="2" l="1"/>
  <c r="P18" i="2"/>
  <c r="S19" i="2" l="1"/>
  <c r="Q18" i="2"/>
  <c r="T19" i="2" l="1"/>
  <c r="S18" i="2"/>
  <c r="S20" i="2" s="1"/>
  <c r="S27" i="2" l="1"/>
  <c r="S28" i="2"/>
  <c r="S26" i="2"/>
  <c r="U19" i="2"/>
  <c r="T18" i="2"/>
  <c r="T20" i="2" s="1"/>
  <c r="U18" i="2" l="1"/>
  <c r="U20" i="2" s="1"/>
  <c r="V19" i="2"/>
  <c r="S40" i="2"/>
  <c r="S23" i="2"/>
  <c r="S65" i="2"/>
  <c r="S43" i="2"/>
  <c r="S79" i="2"/>
  <c r="T27" i="2"/>
  <c r="T28" i="2"/>
  <c r="T26" i="2"/>
  <c r="S69" i="2" l="1"/>
  <c r="S68" i="2" s="1"/>
  <c r="T23" i="2"/>
  <c r="T69" i="2" s="1"/>
  <c r="T68" i="2" s="1"/>
  <c r="T40" i="2"/>
  <c r="V18" i="2"/>
  <c r="V20" i="2" s="1"/>
  <c r="W19" i="2"/>
  <c r="T65" i="2"/>
  <c r="T79" i="2"/>
  <c r="T77" i="2" s="1"/>
  <c r="T43" i="2"/>
  <c r="S77" i="2"/>
  <c r="S46" i="2"/>
  <c r="S42" i="2"/>
  <c r="S72" i="2"/>
  <c r="S71" i="2" s="1"/>
  <c r="S49" i="2"/>
  <c r="S39" i="2"/>
  <c r="S32" i="2"/>
  <c r="S41" i="2"/>
  <c r="S66" i="2"/>
  <c r="S64" i="2" s="1"/>
  <c r="U27" i="2"/>
  <c r="U28" i="2"/>
  <c r="U26" i="2"/>
  <c r="V27" i="2" l="1"/>
  <c r="V28" i="2"/>
  <c r="V26" i="2"/>
  <c r="T41" i="2"/>
  <c r="T72" i="2"/>
  <c r="T71" i="2" s="1"/>
  <c r="T42" i="2"/>
  <c r="T46" i="2"/>
  <c r="T49" i="2"/>
  <c r="T48" i="2" s="1"/>
  <c r="T66" i="2"/>
  <c r="T64" i="2" s="1"/>
  <c r="T39" i="2"/>
  <c r="T32" i="2"/>
  <c r="U23" i="2"/>
  <c r="U40" i="2"/>
  <c r="S38" i="2"/>
  <c r="U65" i="2"/>
  <c r="U79" i="2"/>
  <c r="U43" i="2"/>
  <c r="S48" i="2"/>
  <c r="X19" i="2"/>
  <c r="W18" i="2"/>
  <c r="W20" i="2" s="1"/>
  <c r="U69" i="2" l="1"/>
  <c r="U68" i="2" s="1"/>
  <c r="Y19" i="2"/>
  <c r="X18" i="2"/>
  <c r="X20" i="2" s="1"/>
  <c r="V43" i="2"/>
  <c r="V79" i="2"/>
  <c r="V77" i="2" s="1"/>
  <c r="V65" i="2"/>
  <c r="U77" i="2"/>
  <c r="S30" i="2"/>
  <c r="T38" i="2"/>
  <c r="T30" i="2" s="1"/>
  <c r="T74" i="2" s="1"/>
  <c r="W27" i="2"/>
  <c r="W28" i="2"/>
  <c r="W26" i="2"/>
  <c r="U42" i="2"/>
  <c r="U46" i="2"/>
  <c r="U66" i="2"/>
  <c r="U64" i="2" s="1"/>
  <c r="U41" i="2"/>
  <c r="U32" i="2"/>
  <c r="U49" i="2"/>
  <c r="U48" i="2" s="1"/>
  <c r="U72" i="2"/>
  <c r="U71" i="2" s="1"/>
  <c r="U39" i="2"/>
  <c r="V23" i="2"/>
  <c r="V69" i="2" s="1"/>
  <c r="V68" i="2" s="1"/>
  <c r="V40" i="2"/>
  <c r="U38" i="2" l="1"/>
  <c r="X27" i="2"/>
  <c r="X28" i="2"/>
  <c r="X26" i="2"/>
  <c r="S74" i="2"/>
  <c r="T81" i="2"/>
  <c r="T82" i="2" s="1"/>
  <c r="T75" i="2"/>
  <c r="Y18" i="2"/>
  <c r="Y20" i="2" s="1"/>
  <c r="Z19" i="2"/>
  <c r="W40" i="2"/>
  <c r="W23" i="2"/>
  <c r="W69" i="2" s="1"/>
  <c r="W68" i="2" s="1"/>
  <c r="V66" i="2"/>
  <c r="V64" i="2" s="1"/>
  <c r="V49" i="2"/>
  <c r="V41" i="2"/>
  <c r="V46" i="2"/>
  <c r="V72" i="2"/>
  <c r="V71" i="2" s="1"/>
  <c r="V42" i="2"/>
  <c r="V32" i="2"/>
  <c r="V39" i="2"/>
  <c r="W43" i="2"/>
  <c r="W65" i="2"/>
  <c r="W79" i="2"/>
  <c r="W77" i="2" s="1"/>
  <c r="W49" i="2" l="1"/>
  <c r="W48" i="2" s="1"/>
  <c r="W72" i="2"/>
  <c r="W71" i="2" s="1"/>
  <c r="W41" i="2"/>
  <c r="W39" i="2"/>
  <c r="W38" i="2" s="1"/>
  <c r="W66" i="2"/>
  <c r="W42" i="2"/>
  <c r="W46" i="2"/>
  <c r="W32" i="2"/>
  <c r="S81" i="2"/>
  <c r="S75" i="2"/>
  <c r="U30" i="2"/>
  <c r="V48" i="2"/>
  <c r="X23" i="2"/>
  <c r="X69" i="2" s="1"/>
  <c r="X68" i="2" s="1"/>
  <c r="X40" i="2"/>
  <c r="Y27" i="2"/>
  <c r="Y28" i="2"/>
  <c r="Y26" i="2"/>
  <c r="V38" i="2"/>
  <c r="Z18" i="2"/>
  <c r="Z20" i="2" s="1"/>
  <c r="AA19" i="2"/>
  <c r="X65" i="2"/>
  <c r="X79" i="2"/>
  <c r="X43" i="2"/>
  <c r="V30" i="2" l="1"/>
  <c r="V74" i="2" s="1"/>
  <c r="V75" i="2" s="1"/>
  <c r="W64" i="2"/>
  <c r="W30" i="2" s="1"/>
  <c r="AB19" i="2"/>
  <c r="AA18" i="2"/>
  <c r="AA20" i="2" s="1"/>
  <c r="Z27" i="2"/>
  <c r="Z28" i="2"/>
  <c r="Z26" i="2"/>
  <c r="S82" i="2"/>
  <c r="S83" i="2"/>
  <c r="T83" i="2" s="1"/>
  <c r="S86" i="2"/>
  <c r="X77" i="2"/>
  <c r="Y23" i="2"/>
  <c r="Y69" i="2" s="1"/>
  <c r="Y68" i="2" s="1"/>
  <c r="Y40" i="2"/>
  <c r="Y65" i="2"/>
  <c r="Y79" i="2"/>
  <c r="Y77" i="2" s="1"/>
  <c r="Y43" i="2"/>
  <c r="X41" i="2"/>
  <c r="X72" i="2"/>
  <c r="X71" i="2" s="1"/>
  <c r="X42" i="2"/>
  <c r="X46" i="2"/>
  <c r="X66" i="2"/>
  <c r="X64" i="2" s="1"/>
  <c r="X49" i="2"/>
  <c r="X39" i="2"/>
  <c r="X32" i="2"/>
  <c r="U74" i="2"/>
  <c r="V81" i="2" l="1"/>
  <c r="V82" i="2" s="1"/>
  <c r="W74" i="2"/>
  <c r="Z43" i="2"/>
  <c r="Z79" i="2"/>
  <c r="Z65" i="2"/>
  <c r="X38" i="2"/>
  <c r="X48" i="2"/>
  <c r="T86" i="2"/>
  <c r="AA27" i="2"/>
  <c r="AA28" i="2"/>
  <c r="AA26" i="2"/>
  <c r="U81" i="2"/>
  <c r="U75" i="2"/>
  <c r="Y42" i="2"/>
  <c r="Y46" i="2"/>
  <c r="Y66" i="2"/>
  <c r="Y64" i="2" s="1"/>
  <c r="Y41" i="2"/>
  <c r="Y32" i="2"/>
  <c r="Y49" i="2"/>
  <c r="Y48" i="2" s="1"/>
  <c r="Y72" i="2"/>
  <c r="Y71" i="2" s="1"/>
  <c r="Y39" i="2"/>
  <c r="Z23" i="2"/>
  <c r="Z69" i="2" s="1"/>
  <c r="Z68" i="2" s="1"/>
  <c r="Z40" i="2"/>
  <c r="AC19" i="2"/>
  <c r="AB18" i="2"/>
  <c r="AB20" i="2" s="1"/>
  <c r="X30" i="2" l="1"/>
  <c r="U86" i="2"/>
  <c r="V86" i="2" s="1"/>
  <c r="Y38" i="2"/>
  <c r="U83" i="2"/>
  <c r="V83" i="2" s="1"/>
  <c r="X74" i="2"/>
  <c r="AA40" i="2"/>
  <c r="AA23" i="2"/>
  <c r="AA69" i="2" s="1"/>
  <c r="AA68" i="2" s="1"/>
  <c r="AB27" i="2"/>
  <c r="AB28" i="2"/>
  <c r="AB26" i="2"/>
  <c r="Z66" i="2"/>
  <c r="Z64" i="2" s="1"/>
  <c r="Z49" i="2"/>
  <c r="Z48" i="2" s="1"/>
  <c r="Z41" i="2"/>
  <c r="Z46" i="2"/>
  <c r="Z32" i="2"/>
  <c r="Z72" i="2"/>
  <c r="Z71" i="2" s="1"/>
  <c r="Z42" i="2"/>
  <c r="Z39" i="2"/>
  <c r="Y30" i="2"/>
  <c r="Y74" i="2" s="1"/>
  <c r="U82" i="2"/>
  <c r="Z77" i="2"/>
  <c r="AA43" i="2"/>
  <c r="AA79" i="2"/>
  <c r="AA77" i="2" s="1"/>
  <c r="AA65" i="2"/>
  <c r="AD19" i="2"/>
  <c r="AD18" i="2" s="1"/>
  <c r="AD20" i="2" s="1"/>
  <c r="AC18" i="2"/>
  <c r="AC20" i="2" s="1"/>
  <c r="W81" i="2"/>
  <c r="W82" i="2" s="1"/>
  <c r="W75" i="2"/>
  <c r="Z38" i="2" l="1"/>
  <c r="W83" i="2"/>
  <c r="W86" i="2"/>
  <c r="AA49" i="2"/>
  <c r="AA48" i="2" s="1"/>
  <c r="AA41" i="2"/>
  <c r="AA72" i="2"/>
  <c r="AA71" i="2" s="1"/>
  <c r="AA46" i="2"/>
  <c r="AA39" i="2"/>
  <c r="AA66" i="2"/>
  <c r="AA64" i="2" s="1"/>
  <c r="AA42" i="2"/>
  <c r="AA32" i="2"/>
  <c r="AC27" i="2"/>
  <c r="AC28" i="2"/>
  <c r="AC26" i="2"/>
  <c r="Y81" i="2"/>
  <c r="Y82" i="2" s="1"/>
  <c r="Y75" i="2"/>
  <c r="AB65" i="2"/>
  <c r="AB79" i="2"/>
  <c r="AB77" i="2" s="1"/>
  <c r="AB43" i="2"/>
  <c r="AB23" i="2"/>
  <c r="AB69" i="2" s="1"/>
  <c r="AB68" i="2" s="1"/>
  <c r="AB40" i="2"/>
  <c r="AD27" i="2"/>
  <c r="AD26" i="2"/>
  <c r="AD28" i="2"/>
  <c r="Z30" i="2"/>
  <c r="Z74" i="2" s="1"/>
  <c r="X81" i="2"/>
  <c r="X75" i="2"/>
  <c r="X83" i="2" l="1"/>
  <c r="Y83" i="2" s="1"/>
  <c r="AE27" i="2"/>
  <c r="AF27" i="2" s="1"/>
  <c r="AD43" i="2"/>
  <c r="AD79" i="2"/>
  <c r="AD65" i="2"/>
  <c r="AE28" i="2"/>
  <c r="AF28" i="2" s="1"/>
  <c r="AB41" i="2"/>
  <c r="AB72" i="2"/>
  <c r="AB71" i="2" s="1"/>
  <c r="AB42" i="2"/>
  <c r="AB46" i="2"/>
  <c r="AB49" i="2"/>
  <c r="AB48" i="2" s="1"/>
  <c r="AB66" i="2"/>
  <c r="AB64" i="2" s="1"/>
  <c r="AB32" i="2"/>
  <c r="AB39" i="2"/>
  <c r="Z81" i="2"/>
  <c r="Z75" i="2"/>
  <c r="AC65" i="2"/>
  <c r="AC79" i="2"/>
  <c r="AC77" i="2" s="1"/>
  <c r="AC43" i="2"/>
  <c r="X82" i="2"/>
  <c r="AD23" i="2"/>
  <c r="AD40" i="2"/>
  <c r="AE26" i="2"/>
  <c r="AF26" i="2" s="1"/>
  <c r="X86" i="2"/>
  <c r="AC23" i="2"/>
  <c r="AC69" i="2" s="1"/>
  <c r="AC68" i="2" s="1"/>
  <c r="AC40" i="2"/>
  <c r="AA38" i="2"/>
  <c r="AA30" i="2" s="1"/>
  <c r="AA74" i="2" s="1"/>
  <c r="AD69" i="2" l="1"/>
  <c r="AD68" i="2" s="1"/>
  <c r="AE68" i="2" s="1"/>
  <c r="AF68" i="2" s="1"/>
  <c r="D10" i="2"/>
  <c r="AB38" i="2"/>
  <c r="Y86" i="2"/>
  <c r="Z86" i="2" s="1"/>
  <c r="AA81" i="2"/>
  <c r="AA75" i="2"/>
  <c r="AB30" i="2"/>
  <c r="AB74" i="2" s="1"/>
  <c r="AD77" i="2"/>
  <c r="AE77" i="2" s="1"/>
  <c r="AF77" i="2" s="1"/>
  <c r="AE79" i="2"/>
  <c r="AF79" i="2" s="1"/>
  <c r="AE65" i="2"/>
  <c r="AE40" i="2"/>
  <c r="AF40" i="2" s="1"/>
  <c r="Z82" i="2"/>
  <c r="AC42" i="2"/>
  <c r="AC46" i="2"/>
  <c r="AC66" i="2"/>
  <c r="AC64" i="2" s="1"/>
  <c r="AC41" i="2"/>
  <c r="AC49" i="2"/>
  <c r="AC48" i="2" s="1"/>
  <c r="AC72" i="2"/>
  <c r="AC71" i="2" s="1"/>
  <c r="AC32" i="2"/>
  <c r="AC39" i="2"/>
  <c r="AD66" i="2"/>
  <c r="AD49" i="2"/>
  <c r="AD41" i="2"/>
  <c r="AD46" i="2"/>
  <c r="AD32" i="2"/>
  <c r="AD72" i="2"/>
  <c r="AD71" i="2" s="1"/>
  <c r="AD42" i="2"/>
  <c r="AD39" i="2"/>
  <c r="AE23" i="2"/>
  <c r="AE43" i="2"/>
  <c r="AF43" i="2" s="1"/>
  <c r="Z83" i="2"/>
  <c r="AE41" i="2" l="1"/>
  <c r="AF41" i="2" s="1"/>
  <c r="AE66" i="2"/>
  <c r="AF66" i="2" s="1"/>
  <c r="AA83" i="2"/>
  <c r="AA82" i="2"/>
  <c r="AD38" i="2"/>
  <c r="AE39" i="2"/>
  <c r="AF39" i="2" s="1"/>
  <c r="AE46" i="2"/>
  <c r="AF46" i="2" s="1"/>
  <c r="AE64" i="2"/>
  <c r="AF64" i="2" s="1"/>
  <c r="AF65" i="2"/>
  <c r="AE32" i="2"/>
  <c r="AF32" i="2" s="1"/>
  <c r="AF23" i="2"/>
  <c r="D8" i="2" s="1"/>
  <c r="AE42" i="2"/>
  <c r="AF42" i="2" s="1"/>
  <c r="AC38" i="2"/>
  <c r="AC30" i="2" s="1"/>
  <c r="AC74" i="2" s="1"/>
  <c r="AD64" i="2"/>
  <c r="AB81" i="2"/>
  <c r="AB82" i="2" s="1"/>
  <c r="AB75" i="2"/>
  <c r="AE71" i="2"/>
  <c r="AF71" i="2" s="1"/>
  <c r="AD48" i="2"/>
  <c r="AE49" i="2"/>
  <c r="AA86" i="2"/>
  <c r="AD30" i="2" l="1"/>
  <c r="AE30" i="2" s="1"/>
  <c r="AF30" i="2" s="1"/>
  <c r="AC81" i="2"/>
  <c r="AC82" i="2" s="1"/>
  <c r="AC75" i="2"/>
  <c r="AB86" i="2"/>
  <c r="AE48" i="2"/>
  <c r="AF48" i="2" s="1"/>
  <c r="AF49" i="2"/>
  <c r="AE38" i="2"/>
  <c r="AF38" i="2" s="1"/>
  <c r="AB83" i="2"/>
  <c r="AD74" i="2" l="1"/>
  <c r="AD81" i="2" s="1"/>
  <c r="D11" i="2" s="1"/>
  <c r="AC83" i="2"/>
  <c r="AC86" i="2"/>
  <c r="AE74" i="2"/>
  <c r="AD75" i="2"/>
  <c r="AD82" i="2" l="1"/>
  <c r="AE81" i="2"/>
  <c r="AD86" i="2"/>
  <c r="D12" i="2" s="1"/>
  <c r="AE75" i="2"/>
  <c r="AF74" i="2"/>
  <c r="AF75" i="2" s="1"/>
  <c r="AD83" i="2"/>
  <c r="AE83" i="2" s="1"/>
  <c r="AE82" i="2" l="1"/>
  <c r="AF81" i="2"/>
  <c r="AF83" i="2"/>
  <c r="D9" i="2" s="1"/>
  <c r="AF8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</author>
  </authors>
  <commentList>
    <comment ref="E49" authorId="0" shapeId="0" xr:uid="{F3B80BEC-ACC4-40EB-861F-C64BBDCF5872}">
      <text>
        <r>
          <rPr>
            <b/>
            <sz val="9"/>
            <color indexed="81"/>
            <rFont val="Tahoma"/>
            <family val="2"/>
          </rPr>
          <t>размер патента уменьшен на 50% засчет взаимозачета страховых взносов за сотрудников</t>
        </r>
      </text>
    </comment>
  </commentList>
</comments>
</file>

<file path=xl/sharedStrings.xml><?xml version="1.0" encoding="utf-8"?>
<sst xmlns="http://schemas.openxmlformats.org/spreadsheetml/2006/main" count="197" uniqueCount="157">
  <si>
    <t>Кол-во</t>
  </si>
  <si>
    <t>Цена</t>
  </si>
  <si>
    <t>Сумма</t>
  </si>
  <si>
    <t>ИТОГО</t>
  </si>
  <si>
    <t>ПРОЧИЕ РАСХОДЫ, руб.</t>
  </si>
  <si>
    <t>Год 1</t>
  </si>
  <si>
    <t>ВЫРУЧКА, руб.:</t>
  </si>
  <si>
    <t>РАСХОДЫ, руб.:</t>
  </si>
  <si>
    <t>НАЛОГИ</t>
  </si>
  <si>
    <t>ЧИСТАЯ ПРИБЫЛЬ, руб.</t>
  </si>
  <si>
    <t>Прибыль нарастающим итогом</t>
  </si>
  <si>
    <t>Расчет срока возврата инвестиций</t>
  </si>
  <si>
    <t>Кол-во мес.</t>
  </si>
  <si>
    <t>ИНВЕСТИЦИИ</t>
  </si>
  <si>
    <t xml:space="preserve">ФИНАНСОВАЯ МОДЕЛЬ </t>
  </si>
  <si>
    <t xml:space="preserve">Средняя чистая прибыль </t>
  </si>
  <si>
    <t>Оборот за 2 года</t>
  </si>
  <si>
    <t>Прибыль нарастающим итогом за 2 года</t>
  </si>
  <si>
    <t>Всего выручка от продажи товара</t>
  </si>
  <si>
    <t>Эквайринг</t>
  </si>
  <si>
    <t>Роялти</t>
  </si>
  <si>
    <t>ИТОГО ИНВЕСТИЦИЙ, руб.</t>
  </si>
  <si>
    <t>Прибыль до налогообложения</t>
  </si>
  <si>
    <t>Обеспечительный взнос за аренду</t>
  </si>
  <si>
    <t>Средний оборот</t>
  </si>
  <si>
    <t>Резерв на ЗП сотрудников</t>
  </si>
  <si>
    <t>Аренда</t>
  </si>
  <si>
    <t>Год 2</t>
  </si>
  <si>
    <t>Итого за 2 года</t>
  </si>
  <si>
    <t>Инвестиции, участвующие в ежемесячном расчете прибыли, руб.</t>
  </si>
  <si>
    <t>Франшиза</t>
  </si>
  <si>
    <t>,</t>
  </si>
  <si>
    <t>Вывеска</t>
  </si>
  <si>
    <t>Рекламная кампания открытия</t>
  </si>
  <si>
    <t>Расходы на упаковку</t>
  </si>
  <si>
    <t>Расходы на СЭС</t>
  </si>
  <si>
    <t>Срок возврата инвестиций</t>
  </si>
  <si>
    <t>*в зависимости от состояния помещения</t>
  </si>
  <si>
    <t>УСН</t>
  </si>
  <si>
    <t>Патент</t>
  </si>
  <si>
    <t xml:space="preserve">https://patent.nalog.ru/info/ </t>
  </si>
  <si>
    <t>РАСХОДЫ</t>
  </si>
  <si>
    <t>Коммунальные услуги</t>
  </si>
  <si>
    <t>Всего, руб.</t>
  </si>
  <si>
    <t>Бухгалтер, оплата в месяц, руб.</t>
  </si>
  <si>
    <t>Прочие постоянные расходы</t>
  </si>
  <si>
    <t>Прочие переменные расходы</t>
  </si>
  <si>
    <t>Абонентская плата Iiko</t>
  </si>
  <si>
    <t>Абонентская плата за видеонаблюдение</t>
  </si>
  <si>
    <t>Закупка формы персонала</t>
  </si>
  <si>
    <t>Пожарная безопасность и охрана</t>
  </si>
  <si>
    <t>Связь интернет</t>
  </si>
  <si>
    <t>Вывоз мусора</t>
  </si>
  <si>
    <t>Фудкост</t>
  </si>
  <si>
    <t>Ремонт помещения, руб./кв. м</t>
  </si>
  <si>
    <t>ОБОРУДОВАНИЕ И МЕБЕЛЬ, руб.</t>
  </si>
  <si>
    <t xml:space="preserve"> % от выручки </t>
  </si>
  <si>
    <t>Списания</t>
  </si>
  <si>
    <t>Банковские расходы</t>
  </si>
  <si>
    <t>Расходы на персонал</t>
  </si>
  <si>
    <t>руб.</t>
  </si>
  <si>
    <t>Повара</t>
  </si>
  <si>
    <t>Расходы на помещение</t>
  </si>
  <si>
    <t>Плата за расчетный счет в месяц</t>
  </si>
  <si>
    <t>Справочно: резерв на первые месяцы работы, руб.</t>
  </si>
  <si>
    <t>*изменяемые данные (можно менять для пересчета финмодели)</t>
  </si>
  <si>
    <t>Резерв на аренду</t>
  </si>
  <si>
    <t>Ст-сть за 1 кв. м руб.</t>
  </si>
  <si>
    <t>*выбор из выпадающего списка</t>
  </si>
  <si>
    <t>*изменяемые данные</t>
  </si>
  <si>
    <t>Рентабельность по чистой прибыли</t>
  </si>
  <si>
    <t>*входит в паушальный взнос</t>
  </si>
  <si>
    <t>Регистрация договора аренды</t>
  </si>
  <si>
    <t>Техподдержка iiko</t>
  </si>
  <si>
    <t>DXBX</t>
  </si>
  <si>
    <t>Доля в сумме выручки</t>
  </si>
  <si>
    <t>СБП</t>
  </si>
  <si>
    <t>Торговый эквайринг</t>
  </si>
  <si>
    <t>Интернет-эквайринг</t>
  </si>
  <si>
    <t>Среднее кол-во чеков в месяц ЗАЛ при 100% загрузке</t>
  </si>
  <si>
    <t>Среднее кол-во чеков в месяц ДОСТАВКА при 100% загрузке</t>
  </si>
  <si>
    <t>Средний чек ЗАЛ</t>
  </si>
  <si>
    <t>Средний чек ДОСТАВКА</t>
  </si>
  <si>
    <t>Выручка ЗАЛ</t>
  </si>
  <si>
    <t>Расходы на бухгалтерский учет</t>
  </si>
  <si>
    <t>Ежемесячная плата за расчетный счет</t>
  </si>
  <si>
    <t>РАСХОДЫ НА ВРЕМЯ РЕМОНТА, руб.</t>
  </si>
  <si>
    <t xml:space="preserve">Коммунальные расходы </t>
  </si>
  <si>
    <t>Программа 1с, Контур, ЭЦП, Печать, ОФД, регистрация в Меркурие, ЕГАИСе</t>
  </si>
  <si>
    <t>Первоначальная закупка продуктов и упаковки</t>
  </si>
  <si>
    <t>Затраты на ремонт помещения, руб.</t>
  </si>
  <si>
    <t>Декор помещения</t>
  </si>
  <si>
    <t xml:space="preserve">Оборудование </t>
  </si>
  <si>
    <t>Доставка и разгрузка</t>
  </si>
  <si>
    <t>Пожарная система</t>
  </si>
  <si>
    <t>Дубликаты ключей, страхование помещения и т.д.</t>
  </si>
  <si>
    <t xml:space="preserve">Уборка и вынос мусора во время строительных работ </t>
  </si>
  <si>
    <t xml:space="preserve">Фискальный накопитель + онлайн касса </t>
  </si>
  <si>
    <t>Малоценка (посуда, предметы интерьера,  курьерские сумки, форменная одежда персонала)</t>
  </si>
  <si>
    <t>*автоматическое заполнение (формулы)</t>
  </si>
  <si>
    <t>Площадь помещения</t>
  </si>
  <si>
    <t>Аренда помещения, за вычетом арендных каникул</t>
  </si>
  <si>
    <t>Управляющая компания</t>
  </si>
  <si>
    <t>Администраторы</t>
  </si>
  <si>
    <t>Уборщицы</t>
  </si>
  <si>
    <t>Месяц запуска ресторана</t>
  </si>
  <si>
    <t>Резерв на закупку продукции</t>
  </si>
  <si>
    <t>Официанты</t>
  </si>
  <si>
    <t>Повар</t>
  </si>
  <si>
    <t>Администратор</t>
  </si>
  <si>
    <t>Официант</t>
  </si>
  <si>
    <t>Зарплата персонала на время обучения (2 месяца):</t>
  </si>
  <si>
    <t>Расходы на дезинфекцию</t>
  </si>
  <si>
    <t>Процент роялти в зависимости от размера выручки</t>
  </si>
  <si>
    <t>в %</t>
  </si>
  <si>
    <t>Итого комиссия банка:</t>
  </si>
  <si>
    <t>ПАУШАЛЬНЫЙ ВЗНОС</t>
  </si>
  <si>
    <t>Координация строительных работ прорабом управляющей компании</t>
  </si>
  <si>
    <t>Цена MIN</t>
  </si>
  <si>
    <t>Цена MAX</t>
  </si>
  <si>
    <t xml:space="preserve">Вид расчета </t>
  </si>
  <si>
    <t>Лицензии вспомогательных сервисов (DXBX, iiko, HQ Tech)</t>
  </si>
  <si>
    <t>Роялти в %</t>
  </si>
  <si>
    <t>Роялти в руб.</t>
  </si>
  <si>
    <t xml:space="preserve"> % от выручки доставки</t>
  </si>
  <si>
    <t>ИТ оборудование с подключением (компьютеры, мониторы, касса)</t>
  </si>
  <si>
    <t>Выручка Самовывоз</t>
  </si>
  <si>
    <t>Исходные данные для расчета выручки</t>
  </si>
  <si>
    <t>1.</t>
  </si>
  <si>
    <t>2.</t>
  </si>
  <si>
    <t>3.</t>
  </si>
  <si>
    <t>Средний чек Самовывоз</t>
  </si>
  <si>
    <t xml:space="preserve"> % от выручки Зала</t>
  </si>
  <si>
    <t xml:space="preserve"> % от выручки</t>
  </si>
  <si>
    <t>Прочие расходы</t>
  </si>
  <si>
    <t xml:space="preserve">ВЫРУЧКА </t>
  </si>
  <si>
    <t>Налоги справочно</t>
  </si>
  <si>
    <t>Курьеры</t>
  </si>
  <si>
    <t>Да</t>
  </si>
  <si>
    <t>Налоги на персонал</t>
  </si>
  <si>
    <t>Маржинальность EBITDA</t>
  </si>
  <si>
    <t>Номер месяца</t>
  </si>
  <si>
    <t>Порядковый № месяца со старта</t>
  </si>
  <si>
    <t xml:space="preserve"> % от выручки самовывоза и доставки</t>
  </si>
  <si>
    <t>ср.чек</t>
  </si>
  <si>
    <t>ср. кол-во чеков</t>
  </si>
  <si>
    <t xml:space="preserve">Выручка Доставка </t>
  </si>
  <si>
    <t>Коэффициенты сезонности 2-го года</t>
  </si>
  <si>
    <t>Темп выхода на план. оборот</t>
  </si>
  <si>
    <t>Коэфф. сезонности со 2 года</t>
  </si>
  <si>
    <t>Процент взноса в зависимости от размера выручки</t>
  </si>
  <si>
    <t>до 2000000 ₽</t>
  </si>
  <si>
    <t>Маркетинговый взнос в %</t>
  </si>
  <si>
    <t>Маркетинговый взнос (1-ый месяц работы - платежные каникулы)</t>
  </si>
  <si>
    <t>Маркетинговый взнос в руб. (1-ый месяц - каникулы)</t>
  </si>
  <si>
    <t>Финансовая модель содержит прогнозные показатели. Расчеты выполнены на основе данных, полученных из фактической операционной деятельности точек управляющей компании.</t>
  </si>
  <si>
    <t>Повышение цен со 2-го года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</si>
</sst>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#,##0\ &quot;₽&quot;;\-#,##0\ &quot;₽&quot;"/>
    <numFmt numFmtId="42" formatCode="_-* #,##0\ &quot;₽&quot;_-;\-* #,##0\ &quot;₽&quot;_-;_-* &quot;-&quot;\ &quot;₽&quot;_-;_-@_-"/>
    <numFmt numFmtId="164" formatCode="_-* #,##0.00\ _₽_-;\-* #,##0.00\ _₽_-;_-* &quot;-&quot;??\ _₽_-;_-@_-"/>
    <numFmt numFmtId="165" formatCode="_-* #,##0\ _₽_-;\-* #,##0\ _₽_-;_-* &quot;-&quot;??\ _₽_-;_-@"/>
    <numFmt numFmtId="166" formatCode="_-* #,##0\ _₽_-;\-* #,##0\ _₽_-;_-* &quot;-&quot;??\ _₽_-;_-@_-"/>
    <numFmt numFmtId="167" formatCode="0.0%"/>
    <numFmt numFmtId="168" formatCode="[$-419]mmmm;@"/>
    <numFmt numFmtId="169" formatCode="#,##0\ _₽"/>
    <numFmt numFmtId="170" formatCode="#,##0\ _₽;\-#,##0\ _₽"/>
    <numFmt numFmtId="171" formatCode="0_ &quot;м2&quot;"/>
    <numFmt numFmtId="172" formatCode="#,##0\ &quot;₽&quot;"/>
    <numFmt numFmtId="173" formatCode="_-* #,##0.0\ _₽_-;\-* #,##0.0\ _₽_-;_-* &quot;-&quot;??\ _₽_-;_-@"/>
    <numFmt numFmtId="174" formatCode="&quot;до&quot;_ 0_ &quot;₽&quot;"/>
    <numFmt numFmtId="175" formatCode="&quot;от&quot;_ 0_ &quot;₽&quot;"/>
    <numFmt numFmtId="176" formatCode="0.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Arimo"/>
      <family val="2"/>
    </font>
    <font>
      <b/>
      <sz val="25"/>
      <color theme="1" tint="0.249977111117893"/>
      <name val="Arimo"/>
      <family val="2"/>
    </font>
    <font>
      <sz val="25"/>
      <name val="Arimo"/>
      <family val="2"/>
    </font>
    <font>
      <b/>
      <sz val="20"/>
      <color rgb="FFFA8AB2"/>
      <name val="Arimo"/>
      <family val="2"/>
    </font>
    <font>
      <b/>
      <sz val="9"/>
      <color indexed="81"/>
      <name val="Tahoma"/>
      <family val="2"/>
    </font>
    <font>
      <b/>
      <sz val="18"/>
      <color theme="1" tint="0.249977111117893"/>
      <name val="Arimo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i/>
      <sz val="9"/>
      <name val="Century Gothic"/>
      <family val="2"/>
    </font>
    <font>
      <i/>
      <sz val="9"/>
      <color theme="1"/>
      <name val="Century Gothic"/>
      <family val="2"/>
    </font>
    <font>
      <i/>
      <sz val="8"/>
      <color theme="1"/>
      <name val="Century Gothic"/>
      <family val="2"/>
    </font>
    <font>
      <i/>
      <sz val="10"/>
      <name val="Century Gothic"/>
      <family val="2"/>
    </font>
    <font>
      <sz val="8"/>
      <color theme="1"/>
      <name val="Century Gothic"/>
      <family val="2"/>
    </font>
    <font>
      <sz val="6"/>
      <name val="Century Gothic"/>
      <family val="2"/>
    </font>
    <font>
      <b/>
      <sz val="10"/>
      <color rgb="FFFF330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u/>
      <sz val="10"/>
      <color theme="10"/>
      <name val="Century Gothic"/>
      <family val="2"/>
    </font>
    <font>
      <sz val="9"/>
      <color rgb="FF595959"/>
      <name val="Century Gothic"/>
      <family val="2"/>
    </font>
    <font>
      <sz val="9"/>
      <color theme="1"/>
      <name val="Century Gothic"/>
      <family val="2"/>
    </font>
    <font>
      <b/>
      <sz val="9"/>
      <color rgb="FFDE2A00"/>
      <name val="Century Gothic"/>
      <family val="2"/>
    </font>
    <font>
      <b/>
      <sz val="10"/>
      <color rgb="FFDE2A00"/>
      <name val="Century Gothic"/>
      <family val="2"/>
    </font>
    <font>
      <b/>
      <i/>
      <sz val="8"/>
      <color rgb="FFDE2A00"/>
      <name val="Century Gothic"/>
      <family val="2"/>
    </font>
    <font>
      <b/>
      <sz val="11"/>
      <color rgb="FFDE2A00"/>
      <name val="Century Gothic"/>
      <family val="2"/>
    </font>
    <font>
      <b/>
      <sz val="9"/>
      <color rgb="FFFF3300"/>
      <name val="Century Gothic"/>
      <family val="2"/>
    </font>
    <font>
      <sz val="12"/>
      <color theme="1"/>
      <name val="Century Gothic"/>
      <family val="2"/>
    </font>
    <font>
      <i/>
      <sz val="8"/>
      <name val="Century Gothic"/>
      <family val="2"/>
    </font>
    <font>
      <b/>
      <i/>
      <sz val="8"/>
      <color rgb="FFFF0000"/>
      <name val="Century Gothic"/>
      <family val="2"/>
    </font>
    <font>
      <sz val="10"/>
      <color theme="0" tint="-0.34998626667073579"/>
      <name val="Century Gothic"/>
      <family val="2"/>
    </font>
    <font>
      <sz val="11"/>
      <color theme="1" tint="0.249977111117893"/>
      <name val="Century Gothic"/>
      <family val="2"/>
    </font>
    <font>
      <b/>
      <sz val="11"/>
      <color theme="1" tint="0.249977111117893"/>
      <name val="Century Gothic"/>
      <family val="2"/>
    </font>
    <font>
      <sz val="11"/>
      <color theme="1" tint="0.34998626667073579"/>
      <name val="Century Gothic"/>
      <family val="2"/>
    </font>
    <font>
      <b/>
      <sz val="11"/>
      <color theme="1" tint="0.34998626667073579"/>
      <name val="Century Gothic"/>
      <family val="2"/>
    </font>
    <font>
      <i/>
      <sz val="8"/>
      <color theme="1" tint="0.34998626667073579"/>
      <name val="Century Gothic"/>
      <family val="2"/>
    </font>
    <font>
      <b/>
      <sz val="10"/>
      <color theme="1" tint="0.34998626667073579"/>
      <name val="Century Gothic"/>
      <family val="2"/>
    </font>
    <font>
      <b/>
      <sz val="8"/>
      <color theme="1" tint="0.34998626667073579"/>
      <name val="Century Gothic"/>
      <family val="2"/>
    </font>
    <font>
      <sz val="9"/>
      <color theme="1" tint="0.34998626667073579"/>
      <name val="Century Gothic"/>
      <family val="2"/>
    </font>
    <font>
      <sz val="10"/>
      <color theme="1" tint="0.34998626667073579"/>
      <name val="Century Gothic"/>
      <family val="2"/>
    </font>
    <font>
      <sz val="8"/>
      <color theme="1" tint="0.34998626667073579"/>
      <name val="Century Gothic"/>
      <family val="2"/>
    </font>
    <font>
      <b/>
      <sz val="9"/>
      <color theme="1" tint="0.34998626667073579"/>
      <name val="Century Gothic"/>
      <family val="2"/>
    </font>
    <font>
      <i/>
      <sz val="10"/>
      <color theme="1" tint="0.34998626667073579"/>
      <name val="Century Gothic"/>
      <family val="2"/>
    </font>
    <font>
      <i/>
      <sz val="9"/>
      <color theme="1" tint="0.34998626667073579"/>
      <name val="Century Gothic"/>
      <family val="2"/>
    </font>
    <font>
      <b/>
      <i/>
      <sz val="9"/>
      <color theme="1" tint="0.34998626667073579"/>
      <name val="Century Gothic"/>
      <family val="2"/>
    </font>
    <font>
      <b/>
      <sz val="14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b/>
      <sz val="25"/>
      <color theme="1" tint="0.34998626667073579"/>
      <name val="Arimo"/>
      <family val="2"/>
    </font>
    <font>
      <sz val="9"/>
      <color theme="1" tint="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0" tint="-0.34998626667073579"/>
      </left>
      <right style="thin">
        <color theme="1" tint="0.499984740745262"/>
      </right>
      <top style="medium">
        <color theme="0" tint="-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0" tint="-0.34998626667073579"/>
      </right>
      <top style="medium">
        <color theme="0" tint="-0.34998626667073579"/>
      </top>
      <bottom style="thin">
        <color theme="1" tint="0.499984740745262"/>
      </bottom>
      <diagonal/>
    </border>
    <border>
      <left style="medium">
        <color theme="0" tint="-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0" tint="-0.34998626667073579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34998626667073579"/>
      </left>
      <right/>
      <top style="thin">
        <color theme="1" tint="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theme="0" tint="-0.34998626667073579"/>
      </left>
      <right style="medium">
        <color rgb="FFC00000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rgb="FFC00000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249977111117893"/>
      </left>
      <right/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thin">
        <color theme="0" tint="-0.249977111117893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1" fillId="0" borderId="0"/>
    <xf numFmtId="0" fontId="5" fillId="0" borderId="0" applyNumberFormat="0" applyFill="0" applyBorder="0" applyAlignment="0" applyProtection="0"/>
  </cellStyleXfs>
  <cellXfs count="366">
    <xf numFmtId="0" fontId="0" fillId="0" borderId="0" xfId="0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6" fillId="4" borderId="0" xfId="0" applyFont="1" applyFill="1"/>
    <xf numFmtId="0" fontId="6" fillId="0" borderId="0" xfId="0" applyFont="1" applyFill="1"/>
    <xf numFmtId="0" fontId="7" fillId="0" borderId="0" xfId="0" applyFont="1" applyAlignment="1">
      <alignment horizontal="center"/>
    </xf>
    <xf numFmtId="0" fontId="6" fillId="9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2" fillId="0" borderId="0" xfId="0" applyFont="1"/>
    <xf numFmtId="0" fontId="13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168" fontId="13" fillId="5" borderId="42" xfId="0" applyNumberFormat="1" applyFont="1" applyFill="1" applyBorder="1" applyAlignment="1">
      <alignment horizontal="center" vertical="center"/>
    </xf>
    <xf numFmtId="171" fontId="19" fillId="0" borderId="0" xfId="0" applyNumberFormat="1" applyFont="1" applyAlignment="1">
      <alignment horizontal="left" vertical="center"/>
    </xf>
    <xf numFmtId="165" fontId="15" fillId="2" borderId="3" xfId="0" applyNumberFormat="1" applyFont="1" applyFill="1" applyBorder="1" applyAlignment="1">
      <alignment horizontal="left" vertical="center"/>
    </xf>
    <xf numFmtId="0" fontId="14" fillId="0" borderId="0" xfId="0" applyFont="1"/>
    <xf numFmtId="165" fontId="17" fillId="2" borderId="38" xfId="0" applyNumberFormat="1" applyFont="1" applyFill="1" applyBorder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15" xfId="0" applyFont="1" applyFill="1" applyBorder="1" applyAlignment="1">
      <alignment vertical="center"/>
    </xf>
    <xf numFmtId="165" fontId="15" fillId="2" borderId="31" xfId="0" applyNumberFormat="1" applyFont="1" applyFill="1" applyBorder="1" applyAlignment="1">
      <alignment horizontal="left" vertical="center"/>
    </xf>
    <xf numFmtId="165" fontId="15" fillId="0" borderId="3" xfId="0" applyNumberFormat="1" applyFont="1" applyBorder="1" applyAlignment="1">
      <alignment vertical="center"/>
    </xf>
    <xf numFmtId="165" fontId="15" fillId="2" borderId="22" xfId="0" applyNumberFormat="1" applyFont="1" applyFill="1" applyBorder="1" applyAlignment="1">
      <alignment vertical="center"/>
    </xf>
    <xf numFmtId="165" fontId="15" fillId="2" borderId="29" xfId="0" applyNumberFormat="1" applyFont="1" applyFill="1" applyBorder="1" applyAlignment="1">
      <alignment vertical="center"/>
    </xf>
    <xf numFmtId="165" fontId="15" fillId="2" borderId="30" xfId="0" applyNumberFormat="1" applyFont="1" applyFill="1" applyBorder="1" applyAlignment="1">
      <alignment horizontal="left" vertical="center"/>
    </xf>
    <xf numFmtId="165" fontId="15" fillId="0" borderId="22" xfId="0" applyNumberFormat="1" applyFont="1" applyBorder="1" applyAlignment="1">
      <alignment vertical="center"/>
    </xf>
    <xf numFmtId="165" fontId="15" fillId="0" borderId="29" xfId="0" applyNumberFormat="1" applyFont="1" applyBorder="1" applyAlignment="1">
      <alignment vertical="center"/>
    </xf>
    <xf numFmtId="0" fontId="17" fillId="2" borderId="0" xfId="0" applyFont="1" applyFill="1" applyAlignment="1">
      <alignment horizontal="left" vertical="top"/>
    </xf>
    <xf numFmtId="0" fontId="13" fillId="0" borderId="0" xfId="0" applyFont="1"/>
    <xf numFmtId="0" fontId="12" fillId="3" borderId="0" xfId="0" applyFont="1" applyFill="1"/>
    <xf numFmtId="0" fontId="13" fillId="2" borderId="0" xfId="0" applyFont="1" applyFill="1" applyAlignment="1">
      <alignment horizontal="right"/>
    </xf>
    <xf numFmtId="0" fontId="13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7" fillId="2" borderId="15" xfId="0" applyFont="1" applyFill="1" applyBorder="1" applyAlignment="1">
      <alignment horizontal="right" vertical="top"/>
    </xf>
    <xf numFmtId="0" fontId="13" fillId="0" borderId="15" xfId="0" applyFont="1" applyBorder="1" applyAlignment="1">
      <alignment vertical="center" wrapText="1"/>
    </xf>
    <xf numFmtId="0" fontId="15" fillId="2" borderId="0" xfId="0" applyFont="1" applyFill="1" applyAlignment="1">
      <alignment horizontal="right" vertical="top"/>
    </xf>
    <xf numFmtId="0" fontId="14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2" fillId="2" borderId="0" xfId="0" applyFont="1" applyFill="1" applyAlignment="1">
      <alignment horizontal="right" indent="1"/>
    </xf>
    <xf numFmtId="0" fontId="15" fillId="2" borderId="17" xfId="0" applyFont="1" applyFill="1" applyBorder="1" applyAlignment="1">
      <alignment horizontal="left" vertical="top" indent="2"/>
    </xf>
    <xf numFmtId="0" fontId="12" fillId="0" borderId="18" xfId="0" applyFont="1" applyBorder="1"/>
    <xf numFmtId="0" fontId="15" fillId="2" borderId="0" xfId="0" applyFont="1" applyFill="1" applyAlignment="1">
      <alignment horizontal="left" vertical="top" wrapText="1" indent="2"/>
    </xf>
    <xf numFmtId="0" fontId="24" fillId="2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168" fontId="13" fillId="0" borderId="22" xfId="0" applyNumberFormat="1" applyFont="1" applyBorder="1" applyAlignment="1" applyProtection="1">
      <alignment horizontal="center"/>
      <protection hidden="1"/>
    </xf>
    <xf numFmtId="168" fontId="13" fillId="0" borderId="23" xfId="0" applyNumberFormat="1" applyFont="1" applyBorder="1" applyAlignment="1" applyProtection="1">
      <alignment horizontal="center"/>
      <protection hidden="1"/>
    </xf>
    <xf numFmtId="168" fontId="13" fillId="0" borderId="24" xfId="0" applyNumberFormat="1" applyFont="1" applyBorder="1" applyAlignment="1" applyProtection="1">
      <alignment horizontal="center"/>
      <protection hidden="1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/>
    <xf numFmtId="0" fontId="23" fillId="3" borderId="0" xfId="0" applyFont="1" applyFill="1"/>
    <xf numFmtId="176" fontId="13" fillId="0" borderId="0" xfId="0" applyNumberFormat="1" applyFont="1" applyFill="1"/>
    <xf numFmtId="0" fontId="12" fillId="0" borderId="0" xfId="0" applyFont="1" applyFill="1"/>
    <xf numFmtId="176" fontId="13" fillId="0" borderId="0" xfId="0" applyNumberFormat="1" applyFont="1"/>
    <xf numFmtId="0" fontId="13" fillId="3" borderId="0" xfId="0" applyFont="1" applyFill="1"/>
    <xf numFmtId="0" fontId="13" fillId="2" borderId="0" xfId="0" applyFont="1" applyFill="1" applyAlignment="1">
      <alignment vertical="center" wrapText="1"/>
    </xf>
    <xf numFmtId="0" fontId="15" fillId="2" borderId="22" xfId="0" applyFont="1" applyFill="1" applyBorder="1" applyAlignment="1">
      <alignment horizontal="left" vertical="center" wrapText="1"/>
    </xf>
    <xf numFmtId="171" fontId="15" fillId="0" borderId="24" xfId="0" applyNumberFormat="1" applyFont="1" applyBorder="1" applyAlignment="1">
      <alignment horizontal="right" vertical="center" indent="1"/>
    </xf>
    <xf numFmtId="0" fontId="17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15" fillId="2" borderId="21" xfId="0" applyFont="1" applyFill="1" applyBorder="1" applyAlignment="1">
      <alignment horizontal="left" vertical="top" indent="2"/>
    </xf>
    <xf numFmtId="169" fontId="15" fillId="0" borderId="21" xfId="0" applyNumberFormat="1" applyFont="1" applyBorder="1" applyAlignment="1">
      <alignment horizontal="right" indent="3"/>
    </xf>
    <xf numFmtId="0" fontId="17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 vertical="center" wrapText="1"/>
    </xf>
    <xf numFmtId="0" fontId="21" fillId="0" borderId="21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15" fillId="2" borderId="21" xfId="0" applyFont="1" applyFill="1" applyBorder="1" applyAlignment="1">
      <alignment horizontal="left" vertical="top" wrapText="1" indent="2"/>
    </xf>
    <xf numFmtId="0" fontId="14" fillId="2" borderId="0" xfId="0" applyFont="1" applyFill="1" applyAlignment="1">
      <alignment vertical="center" wrapText="1"/>
    </xf>
    <xf numFmtId="0" fontId="15" fillId="2" borderId="21" xfId="0" applyFont="1" applyFill="1" applyBorder="1" applyAlignment="1">
      <alignment horizontal="left" vertical="top" indent="4"/>
    </xf>
    <xf numFmtId="9" fontId="25" fillId="0" borderId="21" xfId="0" applyNumberFormat="1" applyFont="1" applyBorder="1" applyAlignment="1">
      <alignment horizontal="center" vertical="top"/>
    </xf>
    <xf numFmtId="0" fontId="15" fillId="0" borderId="21" xfId="0" applyFont="1" applyBorder="1" applyAlignment="1">
      <alignment horizontal="left" vertical="top" indent="2"/>
    </xf>
    <xf numFmtId="10" fontId="27" fillId="0" borderId="21" xfId="0" applyNumberFormat="1" applyFont="1" applyBorder="1" applyAlignment="1">
      <alignment horizontal="right" vertical="top" indent="5"/>
    </xf>
    <xf numFmtId="0" fontId="14" fillId="0" borderId="21" xfId="0" applyFont="1" applyBorder="1" applyAlignment="1">
      <alignment vertical="center" wrapText="1"/>
    </xf>
    <xf numFmtId="0" fontId="15" fillId="2" borderId="29" xfId="0" applyFont="1" applyFill="1" applyBorder="1" applyAlignment="1">
      <alignment horizontal="left" vertical="top" wrapText="1" indent="2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170" fontId="15" fillId="0" borderId="21" xfId="0" applyNumberFormat="1" applyFont="1" applyBorder="1" applyAlignment="1">
      <alignment horizontal="right" vertical="center" indent="3"/>
    </xf>
    <xf numFmtId="0" fontId="28" fillId="0" borderId="0" xfId="7" applyFont="1" applyBorder="1"/>
    <xf numFmtId="0" fontId="15" fillId="2" borderId="22" xfId="0" applyFont="1" applyFill="1" applyBorder="1" applyAlignment="1">
      <alignment horizontal="left" vertical="top" indent="2"/>
    </xf>
    <xf numFmtId="9" fontId="15" fillId="2" borderId="24" xfId="0" applyNumberFormat="1" applyFont="1" applyFill="1" applyBorder="1" applyAlignment="1">
      <alignment horizontal="right" vertical="top" indent="4"/>
    </xf>
    <xf numFmtId="0" fontId="17" fillId="3" borderId="0" xfId="0" applyFont="1" applyFill="1" applyAlignment="1">
      <alignment vertical="center"/>
    </xf>
    <xf numFmtId="0" fontId="21" fillId="3" borderId="0" xfId="0" applyFont="1" applyFill="1"/>
    <xf numFmtId="9" fontId="15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8" fillId="0" borderId="0" xfId="0" applyFont="1" applyAlignment="1">
      <alignment vertical="center"/>
    </xf>
    <xf numFmtId="175" fontId="29" fillId="0" borderId="24" xfId="0" applyNumberFormat="1" applyFont="1" applyBorder="1" applyAlignment="1">
      <alignment horizontal="center" vertical="center"/>
    </xf>
    <xf numFmtId="174" fontId="29" fillId="0" borderId="21" xfId="0" applyNumberFormat="1" applyFont="1" applyBorder="1" applyAlignment="1">
      <alignment horizontal="center" vertical="center"/>
    </xf>
    <xf numFmtId="9" fontId="30" fillId="0" borderId="24" xfId="0" applyNumberFormat="1" applyFont="1" applyBorder="1" applyAlignment="1">
      <alignment horizontal="right" vertical="top" indent="3"/>
    </xf>
    <xf numFmtId="9" fontId="30" fillId="0" borderId="21" xfId="0" applyNumberFormat="1" applyFont="1" applyBorder="1" applyAlignment="1">
      <alignment horizontal="right" vertical="top" indent="3"/>
    </xf>
    <xf numFmtId="9" fontId="30" fillId="0" borderId="0" xfId="0" applyNumberFormat="1" applyFont="1" applyAlignment="1">
      <alignment horizontal="right" vertical="top" indent="3"/>
    </xf>
    <xf numFmtId="167" fontId="30" fillId="0" borderId="24" xfId="0" applyNumberFormat="1" applyFont="1" applyBorder="1" applyAlignment="1">
      <alignment horizontal="right" vertical="top" indent="3"/>
    </xf>
    <xf numFmtId="5" fontId="31" fillId="0" borderId="21" xfId="3" applyNumberFormat="1" applyFont="1" applyBorder="1" applyAlignment="1">
      <alignment horizontal="left" vertical="center"/>
    </xf>
    <xf numFmtId="169" fontId="32" fillId="0" borderId="21" xfId="0" applyNumberFormat="1" applyFont="1" applyBorder="1" applyAlignment="1">
      <alignment horizontal="right" indent="4"/>
    </xf>
    <xf numFmtId="167" fontId="32" fillId="0" borderId="21" xfId="0" applyNumberFormat="1" applyFont="1" applyBorder="1" applyAlignment="1">
      <alignment horizontal="right" vertical="top" indent="4"/>
    </xf>
    <xf numFmtId="169" fontId="32" fillId="0" borderId="21" xfId="0" applyNumberFormat="1" applyFont="1" applyBorder="1" applyAlignment="1">
      <alignment horizontal="right" indent="3"/>
    </xf>
    <xf numFmtId="9" fontId="32" fillId="0" borderId="21" xfId="0" applyNumberFormat="1" applyFont="1" applyBorder="1" applyAlignment="1">
      <alignment horizontal="right" vertical="top" indent="4"/>
    </xf>
    <xf numFmtId="9" fontId="32" fillId="0" borderId="21" xfId="0" applyNumberFormat="1" applyFont="1" applyBorder="1" applyAlignment="1">
      <alignment horizontal="center" vertical="top"/>
    </xf>
    <xf numFmtId="167" fontId="32" fillId="0" borderId="21" xfId="0" applyNumberFormat="1" applyFont="1" applyBorder="1" applyAlignment="1">
      <alignment horizontal="center" vertical="top"/>
    </xf>
    <xf numFmtId="169" fontId="32" fillId="0" borderId="21" xfId="0" applyNumberFormat="1" applyFont="1" applyBorder="1" applyAlignment="1">
      <alignment horizontal="center"/>
    </xf>
    <xf numFmtId="10" fontId="32" fillId="0" borderId="30" xfId="0" applyNumberFormat="1" applyFont="1" applyBorder="1" applyAlignment="1">
      <alignment horizontal="right" vertical="top" indent="4"/>
    </xf>
    <xf numFmtId="167" fontId="32" fillId="0" borderId="32" xfId="0" applyNumberFormat="1" applyFont="1" applyBorder="1" applyAlignment="1">
      <alignment horizontal="right" vertical="top" indent="4"/>
    </xf>
    <xf numFmtId="0" fontId="15" fillId="2" borderId="22" xfId="0" applyFont="1" applyFill="1" applyBorder="1" applyAlignment="1">
      <alignment horizontal="left" vertical="top" wrapText="1" indent="2"/>
    </xf>
    <xf numFmtId="9" fontId="32" fillId="0" borderId="24" xfId="0" applyNumberFormat="1" applyFont="1" applyBorder="1" applyAlignment="1">
      <alignment horizontal="right" vertical="top" indent="4"/>
    </xf>
    <xf numFmtId="42" fontId="32" fillId="0" borderId="19" xfId="0" applyNumberFormat="1" applyFont="1" applyBorder="1" applyAlignment="1">
      <alignment horizontal="right" vertical="top"/>
    </xf>
    <xf numFmtId="165" fontId="32" fillId="0" borderId="20" xfId="0" applyNumberFormat="1" applyFont="1" applyBorder="1" applyAlignment="1">
      <alignment horizontal="right" vertical="center" indent="2"/>
    </xf>
    <xf numFmtId="0" fontId="33" fillId="0" borderId="0" xfId="0" applyFont="1" applyAlignment="1">
      <alignment vertical="center" wrapText="1"/>
    </xf>
    <xf numFmtId="0" fontId="32" fillId="0" borderId="25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165" fontId="32" fillId="0" borderId="3" xfId="0" applyNumberFormat="1" applyFont="1" applyBorder="1" applyAlignment="1">
      <alignment vertical="center"/>
    </xf>
    <xf numFmtId="165" fontId="32" fillId="0" borderId="52" xfId="0" applyNumberFormat="1" applyFont="1" applyBorder="1" applyAlignment="1">
      <alignment horizontal="left" vertical="center"/>
    </xf>
    <xf numFmtId="165" fontId="32" fillId="0" borderId="52" xfId="0" applyNumberFormat="1" applyFont="1" applyBorder="1" applyAlignment="1">
      <alignment vertical="center"/>
    </xf>
    <xf numFmtId="165" fontId="32" fillId="0" borderId="28" xfId="0" applyNumberFormat="1" applyFont="1" applyBorder="1" applyAlignment="1">
      <alignment vertical="center"/>
    </xf>
    <xf numFmtId="0" fontId="12" fillId="9" borderId="0" xfId="0" applyFont="1" applyFill="1"/>
    <xf numFmtId="0" fontId="13" fillId="9" borderId="0" xfId="0" applyFont="1" applyFill="1"/>
    <xf numFmtId="0" fontId="23" fillId="9" borderId="0" xfId="0" applyFont="1" applyFill="1"/>
    <xf numFmtId="0" fontId="26" fillId="9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vertical="center"/>
    </xf>
    <xf numFmtId="0" fontId="13" fillId="9" borderId="0" xfId="0" applyFont="1" applyFill="1" applyAlignment="1">
      <alignment vertical="center"/>
    </xf>
    <xf numFmtId="0" fontId="14" fillId="9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68" fontId="13" fillId="5" borderId="42" xfId="0" applyNumberFormat="1" applyFont="1" applyFill="1" applyBorder="1" applyAlignment="1">
      <alignment horizontal="left" vertical="center"/>
    </xf>
    <xf numFmtId="5" fontId="15" fillId="2" borderId="56" xfId="3" applyNumberFormat="1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165" fontId="17" fillId="0" borderId="0" xfId="0" applyNumberFormat="1" applyFont="1" applyAlignment="1">
      <alignment horizontal="center" vertical="center"/>
    </xf>
    <xf numFmtId="171" fontId="34" fillId="0" borderId="24" xfId="0" applyNumberFormat="1" applyFont="1" applyBorder="1" applyAlignment="1">
      <alignment horizontal="right" vertical="center"/>
    </xf>
    <xf numFmtId="171" fontId="15" fillId="0" borderId="0" xfId="0" applyNumberFormat="1" applyFont="1" applyAlignment="1">
      <alignment horizontal="right" vertical="center"/>
    </xf>
    <xf numFmtId="165" fontId="12" fillId="2" borderId="0" xfId="0" applyNumberFormat="1" applyFont="1" applyFill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12" fillId="9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5" fillId="2" borderId="17" xfId="0" applyFont="1" applyFill="1" applyBorder="1" applyAlignment="1">
      <alignment horizontal="left" vertical="top" wrapText="1" indent="2"/>
    </xf>
    <xf numFmtId="0" fontId="15" fillId="2" borderId="18" xfId="0" applyFont="1" applyFill="1" applyBorder="1" applyAlignment="1">
      <alignment horizontal="left" vertical="top" wrapText="1" indent="2"/>
    </xf>
    <xf numFmtId="0" fontId="13" fillId="2" borderId="54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0" borderId="32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5" fontId="32" fillId="0" borderId="21" xfId="3" applyNumberFormat="1" applyFont="1" applyBorder="1" applyAlignment="1">
      <alignment horizontal="left" vertical="center"/>
    </xf>
    <xf numFmtId="5" fontId="35" fillId="0" borderId="21" xfId="3" applyNumberFormat="1" applyFont="1" applyBorder="1" applyAlignment="1">
      <alignment horizontal="left" vertical="center"/>
    </xf>
    <xf numFmtId="0" fontId="23" fillId="2" borderId="0" xfId="0" applyFont="1" applyFill="1" applyAlignment="1">
      <alignment vertical="top" wrapText="1"/>
    </xf>
    <xf numFmtId="168" fontId="13" fillId="5" borderId="43" xfId="0" applyNumberFormat="1" applyFont="1" applyFill="1" applyBorder="1" applyAlignment="1">
      <alignment horizontal="left" vertical="center"/>
    </xf>
    <xf numFmtId="0" fontId="13" fillId="5" borderId="44" xfId="0" applyFont="1" applyFill="1" applyBorder="1"/>
    <xf numFmtId="0" fontId="16" fillId="2" borderId="15" xfId="0" applyFont="1" applyFill="1" applyBorder="1" applyAlignment="1">
      <alignment horizontal="left" vertical="top"/>
    </xf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top"/>
    </xf>
    <xf numFmtId="2" fontId="15" fillId="2" borderId="0" xfId="0" applyNumberFormat="1" applyFont="1" applyFill="1" applyAlignment="1">
      <alignment vertical="top"/>
    </xf>
    <xf numFmtId="0" fontId="12" fillId="0" borderId="45" xfId="0" applyFont="1" applyBorder="1"/>
    <xf numFmtId="168" fontId="36" fillId="5" borderId="42" xfId="0" applyNumberFormat="1" applyFont="1" applyFill="1" applyBorder="1" applyAlignment="1">
      <alignment horizontal="center" vertical="center"/>
    </xf>
    <xf numFmtId="0" fontId="12" fillId="0" borderId="46" xfId="0" applyFont="1" applyBorder="1"/>
    <xf numFmtId="9" fontId="34" fillId="0" borderId="0" xfId="0" applyNumberFormat="1" applyFont="1" applyAlignment="1">
      <alignment horizontal="left" vertical="center" indent="1"/>
    </xf>
    <xf numFmtId="0" fontId="37" fillId="2" borderId="0" xfId="0" applyFont="1" applyFill="1" applyAlignment="1">
      <alignment horizontal="right"/>
    </xf>
    <xf numFmtId="0" fontId="15" fillId="2" borderId="0" xfId="4" applyFont="1" applyFill="1" applyAlignment="1" applyProtection="1">
      <alignment horizontal="center"/>
      <protection hidden="1"/>
    </xf>
    <xf numFmtId="2" fontId="15" fillId="2" borderId="0" xfId="0" applyNumberFormat="1" applyFont="1" applyFill="1" applyAlignment="1">
      <alignment horizontal="center" vertical="top"/>
    </xf>
    <xf numFmtId="0" fontId="17" fillId="2" borderId="0" xfId="0" applyFont="1" applyFill="1" applyAlignment="1">
      <alignment horizontal="right" vertical="top"/>
    </xf>
    <xf numFmtId="0" fontId="14" fillId="9" borderId="0" xfId="0" applyFont="1" applyFill="1"/>
    <xf numFmtId="0" fontId="22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0" fontId="37" fillId="2" borderId="0" xfId="0" applyFont="1" applyFill="1" applyAlignment="1">
      <alignment horizontal="right" vertical="top"/>
    </xf>
    <xf numFmtId="0" fontId="37" fillId="2" borderId="0" xfId="0" applyFont="1" applyFill="1" applyAlignment="1">
      <alignment horizontal="left" vertical="top"/>
    </xf>
    <xf numFmtId="9" fontId="33" fillId="6" borderId="22" xfId="0" applyNumberFormat="1" applyFont="1" applyFill="1" applyBorder="1" applyAlignment="1">
      <alignment horizontal="center" vertical="center"/>
    </xf>
    <xf numFmtId="2" fontId="38" fillId="0" borderId="33" xfId="0" applyNumberFormat="1" applyFont="1" applyBorder="1" applyAlignment="1">
      <alignment horizontal="center" vertical="top"/>
    </xf>
    <xf numFmtId="9" fontId="37" fillId="2" borderId="33" xfId="0" applyNumberFormat="1" applyFont="1" applyFill="1" applyBorder="1" applyAlignment="1">
      <alignment horizontal="center" vertical="top"/>
    </xf>
    <xf numFmtId="165" fontId="39" fillId="6" borderId="0" xfId="0" applyNumberFormat="1" applyFont="1" applyFill="1" applyAlignment="1">
      <alignment horizontal="right" vertical="top"/>
    </xf>
    <xf numFmtId="0" fontId="13" fillId="9" borderId="0" xfId="0" applyFont="1" applyFill="1" applyAlignment="1">
      <alignment horizontal="center"/>
    </xf>
    <xf numFmtId="165" fontId="39" fillId="6" borderId="0" xfId="0" applyNumberFormat="1" applyFont="1" applyFill="1" applyAlignment="1">
      <alignment horizontal="right"/>
    </xf>
    <xf numFmtId="0" fontId="40" fillId="3" borderId="9" xfId="3" applyFont="1" applyFill="1" applyBorder="1" applyAlignment="1">
      <alignment vertical="center"/>
    </xf>
    <xf numFmtId="5" fontId="41" fillId="3" borderId="10" xfId="3" applyNumberFormat="1" applyFont="1" applyFill="1" applyBorder="1" applyAlignment="1">
      <alignment horizontal="right" vertical="center"/>
    </xf>
    <xf numFmtId="0" fontId="40" fillId="3" borderId="11" xfId="3" applyFont="1" applyFill="1" applyBorder="1" applyAlignment="1">
      <alignment vertical="center"/>
    </xf>
    <xf numFmtId="5" fontId="41" fillId="3" borderId="12" xfId="3" applyNumberFormat="1" applyFont="1" applyFill="1" applyBorder="1" applyAlignment="1">
      <alignment horizontal="right" vertical="center"/>
    </xf>
    <xf numFmtId="0" fontId="40" fillId="3" borderId="13" xfId="3" applyFont="1" applyFill="1" applyBorder="1" applyAlignment="1">
      <alignment vertical="center"/>
    </xf>
    <xf numFmtId="165" fontId="41" fillId="3" borderId="14" xfId="0" applyNumberFormat="1" applyFont="1" applyFill="1" applyBorder="1" applyAlignment="1">
      <alignment horizontal="right" vertical="center"/>
    </xf>
    <xf numFmtId="0" fontId="44" fillId="2" borderId="0" xfId="0" applyFont="1" applyFill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9" fontId="44" fillId="2" borderId="0" xfId="0" applyNumberFormat="1" applyFont="1" applyFill="1" applyAlignment="1">
      <alignment horizontal="center" vertical="top"/>
    </xf>
    <xf numFmtId="9" fontId="44" fillId="2" borderId="34" xfId="0" applyNumberFormat="1" applyFont="1" applyFill="1" applyBorder="1" applyAlignment="1">
      <alignment horizontal="center" vertical="top"/>
    </xf>
    <xf numFmtId="0" fontId="45" fillId="10" borderId="15" xfId="0" applyFont="1" applyFill="1" applyBorder="1" applyAlignment="1">
      <alignment vertical="top"/>
    </xf>
    <xf numFmtId="0" fontId="46" fillId="10" borderId="15" xfId="0" applyFont="1" applyFill="1" applyBorder="1" applyAlignment="1">
      <alignment horizontal="center" vertical="top"/>
    </xf>
    <xf numFmtId="165" fontId="45" fillId="10" borderId="15" xfId="0" applyNumberFormat="1" applyFont="1" applyFill="1" applyBorder="1" applyAlignment="1">
      <alignment vertical="top"/>
    </xf>
    <xf numFmtId="165" fontId="45" fillId="10" borderId="36" xfId="0" applyNumberFormat="1" applyFont="1" applyFill="1" applyBorder="1" applyAlignment="1">
      <alignment vertical="top"/>
    </xf>
    <xf numFmtId="0" fontId="45" fillId="2" borderId="0" xfId="0" applyFont="1" applyFill="1" applyAlignment="1">
      <alignment vertical="top"/>
    </xf>
    <xf numFmtId="0" fontId="46" fillId="2" borderId="0" xfId="0" applyFont="1" applyFill="1" applyAlignment="1">
      <alignment horizontal="center" vertical="top"/>
    </xf>
    <xf numFmtId="165" fontId="45" fillId="2" borderId="0" xfId="0" applyNumberFormat="1" applyFont="1" applyFill="1" applyAlignment="1">
      <alignment vertical="top"/>
    </xf>
    <xf numFmtId="165" fontId="45" fillId="2" borderId="33" xfId="0" applyNumberFormat="1" applyFont="1" applyFill="1" applyBorder="1" applyAlignment="1">
      <alignment vertical="top"/>
    </xf>
    <xf numFmtId="0" fontId="47" fillId="2" borderId="0" xfId="0" applyFont="1" applyFill="1" applyAlignment="1">
      <alignment horizontal="center" vertical="top"/>
    </xf>
    <xf numFmtId="165" fontId="45" fillId="2" borderId="0" xfId="0" applyNumberFormat="1" applyFont="1" applyFill="1" applyAlignment="1">
      <alignment horizontal="right" vertical="top"/>
    </xf>
    <xf numFmtId="0" fontId="48" fillId="2" borderId="0" xfId="0" applyFont="1" applyFill="1" applyAlignment="1">
      <alignment horizontal="left" vertical="top" indent="1"/>
    </xf>
    <xf numFmtId="172" fontId="47" fillId="0" borderId="0" xfId="0" applyNumberFormat="1" applyFont="1" applyAlignment="1">
      <alignment horizontal="center" vertical="top"/>
    </xf>
    <xf numFmtId="169" fontId="47" fillId="0" borderId="0" xfId="0" applyNumberFormat="1" applyFont="1" applyAlignment="1">
      <alignment horizontal="right" vertical="top" indent="3"/>
    </xf>
    <xf numFmtId="165" fontId="48" fillId="2" borderId="0" xfId="0" applyNumberFormat="1" applyFont="1" applyFill="1" applyAlignment="1">
      <alignment horizontal="right" vertical="top"/>
    </xf>
    <xf numFmtId="165" fontId="48" fillId="2" borderId="33" xfId="0" applyNumberFormat="1" applyFont="1" applyFill="1" applyBorder="1" applyAlignment="1">
      <alignment vertical="top"/>
    </xf>
    <xf numFmtId="165" fontId="48" fillId="2" borderId="0" xfId="0" applyNumberFormat="1" applyFont="1" applyFill="1" applyAlignment="1">
      <alignment horizontal="left" vertical="top" indent="1"/>
    </xf>
    <xf numFmtId="167" fontId="49" fillId="0" borderId="0" xfId="1" applyNumberFormat="1" applyFont="1" applyFill="1" applyBorder="1" applyAlignment="1">
      <alignment horizontal="right" vertical="top" indent="1"/>
    </xf>
    <xf numFmtId="167" fontId="47" fillId="2" borderId="0" xfId="0" applyNumberFormat="1" applyFont="1" applyFill="1" applyAlignment="1">
      <alignment horizontal="right" vertical="top" indent="9"/>
    </xf>
    <xf numFmtId="165" fontId="48" fillId="2" borderId="0" xfId="0" applyNumberFormat="1" applyFont="1" applyFill="1" applyAlignment="1">
      <alignment vertical="top"/>
    </xf>
    <xf numFmtId="0" fontId="50" fillId="10" borderId="15" xfId="0" applyFont="1" applyFill="1" applyBorder="1" applyAlignment="1">
      <alignment horizontal="right" vertical="top" indent="3"/>
    </xf>
    <xf numFmtId="0" fontId="45" fillId="0" borderId="0" xfId="0" applyFont="1" applyAlignment="1">
      <alignment vertical="top"/>
    </xf>
    <xf numFmtId="0" fontId="50" fillId="0" borderId="0" xfId="0" applyFont="1" applyAlignment="1">
      <alignment horizontal="right" vertical="top" indent="3"/>
    </xf>
    <xf numFmtId="165" fontId="45" fillId="0" borderId="0" xfId="0" applyNumberFormat="1" applyFont="1" applyAlignment="1">
      <alignment vertical="top"/>
    </xf>
    <xf numFmtId="165" fontId="45" fillId="0" borderId="33" xfId="0" applyNumberFormat="1" applyFont="1" applyBorder="1" applyAlignment="1">
      <alignment vertical="top"/>
    </xf>
    <xf numFmtId="9" fontId="47" fillId="0" borderId="0" xfId="1" applyNumberFormat="1" applyFont="1" applyFill="1" applyBorder="1" applyAlignment="1">
      <alignment horizontal="right" vertical="top" indent="4"/>
    </xf>
    <xf numFmtId="0" fontId="48" fillId="2" borderId="0" xfId="0" applyFont="1" applyFill="1" applyAlignment="1">
      <alignment horizontal="left" vertical="top" indent="2"/>
    </xf>
    <xf numFmtId="0" fontId="48" fillId="0" borderId="0" xfId="0" applyFont="1" applyAlignment="1">
      <alignment vertical="top"/>
    </xf>
    <xf numFmtId="0" fontId="49" fillId="2" borderId="0" xfId="0" applyFont="1" applyFill="1" applyAlignment="1">
      <alignment vertical="top"/>
    </xf>
    <xf numFmtId="166" fontId="47" fillId="0" borderId="0" xfId="1" applyNumberFormat="1" applyFont="1" applyFill="1" applyBorder="1" applyAlignment="1">
      <alignment horizontal="right" vertical="top" indent="3"/>
    </xf>
    <xf numFmtId="169" fontId="47" fillId="0" borderId="0" xfId="0" applyNumberFormat="1" applyFont="1" applyAlignment="1">
      <alignment horizontal="center" vertical="top"/>
    </xf>
    <xf numFmtId="167" fontId="47" fillId="0" borderId="0" xfId="1" applyNumberFormat="1" applyFont="1" applyFill="1" applyBorder="1" applyAlignment="1">
      <alignment horizontal="right" vertical="top" indent="4"/>
    </xf>
    <xf numFmtId="0" fontId="48" fillId="0" borderId="0" xfId="0" applyFont="1" applyAlignment="1">
      <alignment horizontal="left" vertical="top" indent="2"/>
    </xf>
    <xf numFmtId="0" fontId="44" fillId="0" borderId="0" xfId="0" applyFont="1" applyAlignment="1">
      <alignment vertical="top"/>
    </xf>
    <xf numFmtId="0" fontId="42" fillId="0" borderId="0" xfId="0" applyFont="1"/>
    <xf numFmtId="165" fontId="48" fillId="2" borderId="0" xfId="0" applyNumberFormat="1" applyFont="1" applyFill="1" applyAlignment="1">
      <alignment horizontal="center" vertical="top"/>
    </xf>
    <xf numFmtId="0" fontId="48" fillId="2" borderId="0" xfId="0" applyFont="1" applyFill="1" applyAlignment="1">
      <alignment vertical="top"/>
    </xf>
    <xf numFmtId="0" fontId="44" fillId="2" borderId="0" xfId="0" applyFont="1" applyFill="1" applyAlignment="1">
      <alignment vertical="top"/>
    </xf>
    <xf numFmtId="10" fontId="47" fillId="0" borderId="0" xfId="1" applyNumberFormat="1" applyFont="1" applyFill="1" applyBorder="1" applyAlignment="1">
      <alignment horizontal="right" vertical="top" indent="4"/>
    </xf>
    <xf numFmtId="0" fontId="48" fillId="2" borderId="0" xfId="0" applyFont="1" applyFill="1" applyAlignment="1">
      <alignment horizontal="left" vertical="top"/>
    </xf>
    <xf numFmtId="0" fontId="43" fillId="0" borderId="0" xfId="0" applyFont="1"/>
    <xf numFmtId="9" fontId="47" fillId="0" borderId="0" xfId="1" applyNumberFormat="1" applyFont="1" applyFill="1" applyBorder="1" applyAlignment="1">
      <alignment horizontal="right" vertical="top" indent="3"/>
    </xf>
    <xf numFmtId="167" fontId="48" fillId="2" borderId="0" xfId="2" applyNumberFormat="1" applyFont="1" applyFill="1" applyAlignment="1">
      <alignment horizontal="right" vertical="top" indent="2"/>
    </xf>
    <xf numFmtId="9" fontId="48" fillId="2" borderId="0" xfId="2" applyFont="1" applyFill="1" applyAlignment="1">
      <alignment horizontal="right" vertical="top" indent="2"/>
    </xf>
    <xf numFmtId="166" fontId="49" fillId="2" borderId="0" xfId="1" applyNumberFormat="1" applyFont="1" applyFill="1" applyBorder="1" applyAlignment="1">
      <alignment horizontal="right" vertical="top" indent="3"/>
    </xf>
    <xf numFmtId="0" fontId="45" fillId="2" borderId="15" xfId="0" applyFont="1" applyFill="1" applyBorder="1" applyAlignment="1">
      <alignment vertical="top"/>
    </xf>
    <xf numFmtId="0" fontId="46" fillId="2" borderId="15" xfId="0" applyFont="1" applyFill="1" applyBorder="1" applyAlignment="1">
      <alignment vertical="top"/>
    </xf>
    <xf numFmtId="165" fontId="46" fillId="2" borderId="15" xfId="0" applyNumberFormat="1" applyFont="1" applyFill="1" applyBorder="1" applyAlignment="1">
      <alignment horizontal="right" vertical="top" indent="3"/>
    </xf>
    <xf numFmtId="165" fontId="45" fillId="2" borderId="15" xfId="0" applyNumberFormat="1" applyFont="1" applyFill="1" applyBorder="1" applyAlignment="1">
      <alignment vertical="top"/>
    </xf>
    <xf numFmtId="165" fontId="45" fillId="2" borderId="36" xfId="0" applyNumberFormat="1" applyFont="1" applyFill="1" applyBorder="1" applyAlignment="1">
      <alignment vertical="top"/>
    </xf>
    <xf numFmtId="0" fontId="51" fillId="2" borderId="1" xfId="0" applyFont="1" applyFill="1" applyBorder="1" applyAlignment="1">
      <alignment horizontal="left" vertical="top"/>
    </xf>
    <xf numFmtId="0" fontId="51" fillId="2" borderId="1" xfId="0" applyFont="1" applyFill="1" applyBorder="1" applyAlignment="1">
      <alignment vertical="top"/>
    </xf>
    <xf numFmtId="166" fontId="51" fillId="2" borderId="1" xfId="1" applyNumberFormat="1" applyFont="1" applyFill="1" applyBorder="1" applyAlignment="1">
      <alignment horizontal="right" vertical="top" indent="3"/>
    </xf>
    <xf numFmtId="167" fontId="44" fillId="2" borderId="1" xfId="2" applyNumberFormat="1" applyFont="1" applyFill="1" applyBorder="1" applyAlignment="1">
      <alignment horizontal="left" vertical="top" indent="8"/>
    </xf>
    <xf numFmtId="167" fontId="44" fillId="2" borderId="37" xfId="2" applyNumberFormat="1" applyFont="1" applyFill="1" applyBorder="1" applyAlignment="1">
      <alignment horizontal="center" vertical="top"/>
    </xf>
    <xf numFmtId="167" fontId="44" fillId="2" borderId="1" xfId="2" applyNumberFormat="1" applyFont="1" applyFill="1" applyBorder="1" applyAlignment="1">
      <alignment horizontal="left" vertical="top" indent="6"/>
    </xf>
    <xf numFmtId="166" fontId="44" fillId="2" borderId="0" xfId="1" applyNumberFormat="1" applyFont="1" applyFill="1" applyBorder="1" applyAlignment="1">
      <alignment horizontal="right" vertical="top" indent="3"/>
    </xf>
    <xf numFmtId="167" fontId="44" fillId="2" borderId="0" xfId="2" applyNumberFormat="1" applyFont="1" applyFill="1" applyBorder="1" applyAlignment="1">
      <alignment horizontal="left" vertical="top" indent="4"/>
    </xf>
    <xf numFmtId="167" fontId="44" fillId="2" borderId="33" xfId="2" applyNumberFormat="1" applyFont="1" applyFill="1" applyBorder="1" applyAlignment="1">
      <alignment horizontal="left" vertical="top" indent="5"/>
    </xf>
    <xf numFmtId="167" fontId="44" fillId="2" borderId="33" xfId="2" applyNumberFormat="1" applyFont="1" applyFill="1" applyBorder="1" applyAlignment="1">
      <alignment horizontal="left" vertical="top" indent="4"/>
    </xf>
    <xf numFmtId="3" fontId="47" fillId="0" borderId="0" xfId="1" applyNumberFormat="1" applyFont="1" applyFill="1" applyBorder="1" applyAlignment="1">
      <alignment horizontal="right" vertical="top" indent="3"/>
    </xf>
    <xf numFmtId="3" fontId="47" fillId="0" borderId="0" xfId="1" applyNumberFormat="1" applyFont="1" applyFill="1" applyBorder="1" applyAlignment="1">
      <alignment horizontal="center" vertical="top"/>
    </xf>
    <xf numFmtId="167" fontId="49" fillId="2" borderId="0" xfId="0" applyNumberFormat="1" applyFont="1" applyFill="1" applyAlignment="1">
      <alignment horizontal="left" vertical="top" indent="10"/>
    </xf>
    <xf numFmtId="0" fontId="51" fillId="2" borderId="1" xfId="0" applyFont="1" applyFill="1" applyBorder="1" applyAlignment="1">
      <alignment horizontal="center" vertical="top"/>
    </xf>
    <xf numFmtId="166" fontId="51" fillId="2" borderId="1" xfId="1" applyNumberFormat="1" applyFont="1" applyFill="1" applyBorder="1" applyAlignment="1">
      <alignment horizontal="center" vertical="top"/>
    </xf>
    <xf numFmtId="167" fontId="44" fillId="2" borderId="1" xfId="2" applyNumberFormat="1" applyFont="1" applyFill="1" applyBorder="1" applyAlignment="1">
      <alignment horizontal="left" vertical="top" indent="5"/>
    </xf>
    <xf numFmtId="167" fontId="44" fillId="2" borderId="55" xfId="2" applyNumberFormat="1" applyFont="1" applyFill="1" applyBorder="1" applyAlignment="1">
      <alignment horizontal="center" vertical="top"/>
    </xf>
    <xf numFmtId="0" fontId="51" fillId="2" borderId="0" xfId="0" applyFont="1" applyFill="1" applyAlignment="1">
      <alignment vertical="top"/>
    </xf>
    <xf numFmtId="0" fontId="51" fillId="2" borderId="0" xfId="0" applyFont="1" applyFill="1" applyAlignment="1">
      <alignment horizontal="center" vertical="top"/>
    </xf>
    <xf numFmtId="165" fontId="51" fillId="2" borderId="0" xfId="0" applyNumberFormat="1" applyFont="1" applyFill="1" applyAlignment="1">
      <alignment vertical="top"/>
    </xf>
    <xf numFmtId="0" fontId="49" fillId="2" borderId="0" xfId="0" applyFont="1" applyFill="1" applyAlignment="1">
      <alignment horizontal="center" vertical="top"/>
    </xf>
    <xf numFmtId="0" fontId="48" fillId="2" borderId="0" xfId="0" applyFont="1" applyFill="1"/>
    <xf numFmtId="0" fontId="48" fillId="2" borderId="0" xfId="0" applyFont="1" applyFill="1" applyAlignment="1">
      <alignment horizontal="center" vertical="top"/>
    </xf>
    <xf numFmtId="0" fontId="45" fillId="2" borderId="40" xfId="0" applyFont="1" applyFill="1" applyBorder="1" applyAlignment="1">
      <alignment horizontal="left" vertical="top" wrapText="1"/>
    </xf>
    <xf numFmtId="0" fontId="45" fillId="2" borderId="41" xfId="0" applyFont="1" applyFill="1" applyBorder="1" applyAlignment="1">
      <alignment horizontal="left" vertical="top" wrapText="1"/>
    </xf>
    <xf numFmtId="165" fontId="48" fillId="0" borderId="0" xfId="0" applyNumberFormat="1" applyFont="1" applyAlignment="1">
      <alignment vertical="top"/>
    </xf>
    <xf numFmtId="0" fontId="48" fillId="2" borderId="39" xfId="0" applyFont="1" applyFill="1" applyBorder="1" applyAlignment="1">
      <alignment vertical="top"/>
    </xf>
    <xf numFmtId="0" fontId="50" fillId="2" borderId="4" xfId="0" applyFont="1" applyFill="1" applyBorder="1" applyAlignment="1">
      <alignment horizontal="left" vertical="top" wrapText="1"/>
    </xf>
    <xf numFmtId="0" fontId="50" fillId="2" borderId="5" xfId="0" applyFont="1" applyFill="1" applyBorder="1" applyAlignment="1">
      <alignment horizontal="left" vertical="top" wrapText="1"/>
    </xf>
    <xf numFmtId="165" fontId="45" fillId="2" borderId="2" xfId="0" applyNumberFormat="1" applyFont="1" applyFill="1" applyBorder="1" applyAlignment="1">
      <alignment horizontal="right" vertical="top" indent="2"/>
    </xf>
    <xf numFmtId="0" fontId="51" fillId="2" borderId="0" xfId="0" applyFont="1" applyFill="1" applyAlignment="1">
      <alignment horizontal="left" vertical="top"/>
    </xf>
    <xf numFmtId="0" fontId="48" fillId="2" borderId="7" xfId="0" applyFont="1" applyFill="1" applyBorder="1" applyAlignment="1">
      <alignment horizontal="left" vertical="top" wrapText="1"/>
    </xf>
    <xf numFmtId="0" fontId="48" fillId="2" borderId="8" xfId="0" applyFont="1" applyFill="1" applyBorder="1" applyAlignment="1">
      <alignment horizontal="left" vertical="top" wrapText="1"/>
    </xf>
    <xf numFmtId="165" fontId="48" fillId="2" borderId="6" xfId="0" applyNumberFormat="1" applyFont="1" applyFill="1" applyBorder="1" applyAlignment="1">
      <alignment horizontal="right" vertical="top" indent="2"/>
    </xf>
    <xf numFmtId="0" fontId="42" fillId="2" borderId="0" xfId="0" applyFont="1" applyFill="1"/>
    <xf numFmtId="168" fontId="45" fillId="7" borderId="22" xfId="0" applyNumberFormat="1" applyFont="1" applyFill="1" applyBorder="1" applyAlignment="1" applyProtection="1">
      <alignment horizontal="center"/>
      <protection hidden="1"/>
    </xf>
    <xf numFmtId="168" fontId="45" fillId="7" borderId="23" xfId="0" applyNumberFormat="1" applyFont="1" applyFill="1" applyBorder="1" applyAlignment="1">
      <alignment horizontal="center" vertical="top"/>
    </xf>
    <xf numFmtId="0" fontId="45" fillId="2" borderId="32" xfId="0" applyFont="1" applyFill="1" applyBorder="1" applyAlignment="1">
      <alignment horizontal="center" vertical="top"/>
    </xf>
    <xf numFmtId="168" fontId="45" fillId="8" borderId="31" xfId="0" applyNumberFormat="1" applyFont="1" applyFill="1" applyBorder="1" applyAlignment="1">
      <alignment horizontal="center" vertical="top"/>
    </xf>
    <xf numFmtId="168" fontId="45" fillId="8" borderId="3" xfId="0" applyNumberFormat="1" applyFont="1" applyFill="1" applyBorder="1" applyAlignment="1">
      <alignment horizontal="center" vertical="top"/>
    </xf>
    <xf numFmtId="168" fontId="45" fillId="8" borderId="35" xfId="0" applyNumberFormat="1" applyFont="1" applyFill="1" applyBorder="1" applyAlignment="1">
      <alignment horizontal="center" vertical="top"/>
    </xf>
    <xf numFmtId="2" fontId="52" fillId="2" borderId="22" xfId="0" applyNumberFormat="1" applyFont="1" applyFill="1" applyBorder="1" applyAlignment="1">
      <alignment horizontal="center" vertical="top"/>
    </xf>
    <xf numFmtId="2" fontId="52" fillId="2" borderId="23" xfId="0" applyNumberFormat="1" applyFont="1" applyFill="1" applyBorder="1" applyAlignment="1">
      <alignment horizontal="center" vertical="top"/>
    </xf>
    <xf numFmtId="2" fontId="52" fillId="2" borderId="24" xfId="0" applyNumberFormat="1" applyFont="1" applyFill="1" applyBorder="1" applyAlignment="1">
      <alignment horizontal="center" vertical="top"/>
    </xf>
    <xf numFmtId="0" fontId="53" fillId="2" borderId="33" xfId="0" applyFont="1" applyFill="1" applyBorder="1" applyAlignment="1">
      <alignment horizontal="center" vertical="top"/>
    </xf>
    <xf numFmtId="2" fontId="52" fillId="2" borderId="53" xfId="0" applyNumberFormat="1" applyFont="1" applyFill="1" applyBorder="1" applyAlignment="1">
      <alignment horizontal="center" vertical="top"/>
    </xf>
    <xf numFmtId="0" fontId="54" fillId="0" borderId="15" xfId="0" applyFont="1" applyBorder="1" applyAlignment="1">
      <alignment horizontal="left"/>
    </xf>
    <xf numFmtId="0" fontId="45" fillId="2" borderId="15" xfId="0" applyFont="1" applyFill="1" applyBorder="1" applyAlignment="1">
      <alignment horizontal="right" vertical="top"/>
    </xf>
    <xf numFmtId="0" fontId="48" fillId="0" borderId="15" xfId="0" applyFont="1" applyBorder="1" applyAlignment="1">
      <alignment vertical="center" wrapText="1"/>
    </xf>
    <xf numFmtId="0" fontId="48" fillId="2" borderId="0" xfId="0" applyFont="1" applyFill="1" applyAlignment="1">
      <alignment horizontal="right" vertical="top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48" fillId="2" borderId="0" xfId="0" applyFont="1" applyFill="1" applyAlignment="1">
      <alignment horizontal="left" vertical="top" indent="2"/>
    </xf>
    <xf numFmtId="0" fontId="51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45" fillId="2" borderId="0" xfId="0" applyFont="1" applyFill="1" applyAlignment="1">
      <alignment horizontal="left" vertical="top"/>
    </xf>
    <xf numFmtId="0" fontId="48" fillId="0" borderId="0" xfId="0" applyFont="1"/>
    <xf numFmtId="0" fontId="54" fillId="2" borderId="15" xfId="0" applyFont="1" applyFill="1" applyBorder="1" applyAlignment="1">
      <alignment horizontal="left" vertical="center"/>
    </xf>
    <xf numFmtId="0" fontId="45" fillId="2" borderId="15" xfId="0" applyFont="1" applyFill="1" applyBorder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3" fillId="2" borderId="47" xfId="0" applyFont="1" applyFill="1" applyBorder="1" applyAlignment="1">
      <alignment horizontal="left" vertical="center" wrapText="1"/>
    </xf>
    <xf numFmtId="0" fontId="45" fillId="2" borderId="48" xfId="0" applyFont="1" applyFill="1" applyBorder="1" applyAlignment="1">
      <alignment horizontal="center" vertical="center" wrapText="1"/>
    </xf>
    <xf numFmtId="165" fontId="43" fillId="0" borderId="49" xfId="0" applyNumberFormat="1" applyFont="1" applyBorder="1" applyAlignment="1">
      <alignment horizontal="center" vertical="center"/>
    </xf>
    <xf numFmtId="0" fontId="45" fillId="2" borderId="22" xfId="0" applyFont="1" applyFill="1" applyBorder="1" applyAlignment="1">
      <alignment horizontal="left" vertical="center" wrapText="1"/>
    </xf>
    <xf numFmtId="0" fontId="45" fillId="0" borderId="23" xfId="0" applyFont="1" applyBorder="1" applyAlignment="1">
      <alignment horizontal="right" vertical="center"/>
    </xf>
    <xf numFmtId="0" fontId="45" fillId="2" borderId="0" xfId="0" applyFont="1" applyFill="1" applyAlignment="1">
      <alignment horizontal="left" vertical="center" wrapText="1"/>
    </xf>
    <xf numFmtId="0" fontId="45" fillId="0" borderId="0" xfId="0" applyFont="1" applyAlignment="1">
      <alignment horizontal="right" vertical="center"/>
    </xf>
    <xf numFmtId="0" fontId="45" fillId="2" borderId="17" xfId="0" applyFont="1" applyFill="1" applyBorder="1" applyAlignment="1">
      <alignment horizontal="left" vertical="center" wrapText="1"/>
    </xf>
    <xf numFmtId="0" fontId="45" fillId="0" borderId="18" xfId="0" applyFont="1" applyBorder="1" applyAlignment="1">
      <alignment horizontal="right" vertical="center"/>
    </xf>
    <xf numFmtId="0" fontId="45" fillId="2" borderId="15" xfId="0" applyFont="1" applyFill="1" applyBorder="1" applyAlignment="1">
      <alignment horizontal="left" vertical="center" wrapText="1"/>
    </xf>
    <xf numFmtId="0" fontId="48" fillId="2" borderId="15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center" vertical="center" wrapText="1"/>
    </xf>
    <xf numFmtId="0" fontId="48" fillId="2" borderId="3" xfId="0" applyFont="1" applyFill="1" applyBorder="1" applyAlignment="1">
      <alignment horizontal="left" vertical="center"/>
    </xf>
    <xf numFmtId="165" fontId="48" fillId="0" borderId="3" xfId="0" applyNumberFormat="1" applyFont="1" applyBorder="1" applyAlignment="1">
      <alignment horizontal="left" vertical="center"/>
    </xf>
    <xf numFmtId="171" fontId="48" fillId="0" borderId="3" xfId="0" applyNumberFormat="1" applyFont="1" applyBorder="1" applyAlignment="1">
      <alignment horizontal="right" vertical="center"/>
    </xf>
    <xf numFmtId="0" fontId="45" fillId="2" borderId="38" xfId="0" applyFont="1" applyFill="1" applyBorder="1" applyAlignment="1">
      <alignment horizontal="left" vertical="center"/>
    </xf>
    <xf numFmtId="165" fontId="45" fillId="2" borderId="38" xfId="0" applyNumberFormat="1" applyFont="1" applyFill="1" applyBorder="1" applyAlignment="1">
      <alignment horizontal="left" vertical="center"/>
    </xf>
    <xf numFmtId="0" fontId="48" fillId="2" borderId="0" xfId="0" applyFont="1" applyFill="1" applyAlignment="1">
      <alignment vertical="center"/>
    </xf>
    <xf numFmtId="0" fontId="48" fillId="2" borderId="0" xfId="0" applyFont="1" applyFill="1" applyAlignment="1">
      <alignment horizontal="center" vertical="center"/>
    </xf>
    <xf numFmtId="0" fontId="48" fillId="2" borderId="35" xfId="0" applyFont="1" applyFill="1" applyBorder="1" applyAlignment="1">
      <alignment horizontal="left" vertical="center" wrapText="1"/>
    </xf>
    <xf numFmtId="165" fontId="48" fillId="0" borderId="35" xfId="0" applyNumberFormat="1" applyFont="1" applyBorder="1" applyAlignment="1">
      <alignment horizontal="left" vertical="center"/>
    </xf>
    <xf numFmtId="0" fontId="42" fillId="2" borderId="0" xfId="0" applyFont="1" applyFill="1" applyAlignment="1">
      <alignment vertical="center"/>
    </xf>
    <xf numFmtId="0" fontId="51" fillId="2" borderId="0" xfId="0" applyFont="1" applyFill="1" applyAlignment="1">
      <alignment vertical="center"/>
    </xf>
    <xf numFmtId="0" fontId="48" fillId="2" borderId="21" xfId="0" applyFont="1" applyFill="1" applyBorder="1" applyAlignment="1">
      <alignment horizontal="left" vertical="center" wrapText="1"/>
    </xf>
    <xf numFmtId="165" fontId="48" fillId="0" borderId="21" xfId="0" applyNumberFormat="1" applyFont="1" applyBorder="1" applyAlignment="1">
      <alignment horizontal="left" vertical="center"/>
    </xf>
    <xf numFmtId="165" fontId="45" fillId="0" borderId="3" xfId="0" applyNumberFormat="1" applyFont="1" applyBorder="1" applyAlignment="1">
      <alignment horizontal="left" vertical="center"/>
    </xf>
    <xf numFmtId="0" fontId="48" fillId="2" borderId="32" xfId="0" applyFont="1" applyFill="1" applyBorder="1" applyAlignment="1">
      <alignment horizontal="left" vertical="center" wrapText="1"/>
    </xf>
    <xf numFmtId="165" fontId="48" fillId="2" borderId="32" xfId="0" applyNumberFormat="1" applyFont="1" applyFill="1" applyBorder="1" applyAlignment="1">
      <alignment horizontal="left" vertical="center"/>
    </xf>
    <xf numFmtId="0" fontId="48" fillId="2" borderId="22" xfId="0" applyFont="1" applyFill="1" applyBorder="1" applyAlignment="1">
      <alignment horizontal="left" vertical="center" wrapText="1"/>
    </xf>
    <xf numFmtId="165" fontId="48" fillId="2" borderId="23" xfId="0" applyNumberFormat="1" applyFont="1" applyFill="1" applyBorder="1" applyAlignment="1">
      <alignment horizontal="left" vertical="center"/>
    </xf>
    <xf numFmtId="0" fontId="48" fillId="2" borderId="34" xfId="0" applyFont="1" applyFill="1" applyBorder="1" applyAlignment="1">
      <alignment horizontal="left" vertical="center" wrapText="1"/>
    </xf>
    <xf numFmtId="165" fontId="48" fillId="0" borderId="34" xfId="0" applyNumberFormat="1" applyFont="1" applyBorder="1" applyAlignment="1">
      <alignment horizontal="left" vertical="center"/>
    </xf>
    <xf numFmtId="0" fontId="45" fillId="2" borderId="23" xfId="0" applyFont="1" applyFill="1" applyBorder="1" applyAlignment="1">
      <alignment horizontal="left" vertical="center"/>
    </xf>
    <xf numFmtId="165" fontId="45" fillId="2" borderId="23" xfId="0" applyNumberFormat="1" applyFont="1" applyFill="1" applyBorder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165" fontId="48" fillId="2" borderId="0" xfId="0" applyNumberFormat="1" applyFont="1" applyFill="1" applyAlignment="1">
      <alignment horizontal="left" vertical="center"/>
    </xf>
    <xf numFmtId="0" fontId="55" fillId="2" borderId="16" xfId="3" applyFont="1" applyFill="1" applyBorder="1" applyAlignment="1">
      <alignment horizontal="left" vertical="center" wrapText="1"/>
    </xf>
    <xf numFmtId="0" fontId="45" fillId="2" borderId="16" xfId="3" applyFont="1" applyFill="1" applyBorder="1" applyAlignment="1">
      <alignment horizontal="center" vertical="center" wrapText="1"/>
    </xf>
    <xf numFmtId="0" fontId="45" fillId="2" borderId="0" xfId="3" applyFont="1" applyFill="1" applyAlignment="1">
      <alignment horizontal="left" vertical="center" wrapText="1"/>
    </xf>
    <xf numFmtId="0" fontId="45" fillId="2" borderId="0" xfId="3" applyFont="1" applyFill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51" fillId="2" borderId="15" xfId="0" applyFont="1" applyFill="1" applyBorder="1" applyAlignment="1">
      <alignment horizontal="left" vertical="center"/>
    </xf>
    <xf numFmtId="165" fontId="48" fillId="2" borderId="3" xfId="0" applyNumberFormat="1" applyFont="1" applyFill="1" applyBorder="1" applyAlignment="1">
      <alignment horizontal="left" vertical="center"/>
    </xf>
    <xf numFmtId="173" fontId="48" fillId="2" borderId="3" xfId="0" applyNumberFormat="1" applyFont="1" applyFill="1" applyBorder="1" applyAlignment="1">
      <alignment horizontal="left" vertical="center"/>
    </xf>
    <xf numFmtId="0" fontId="48" fillId="2" borderId="50" xfId="0" applyFont="1" applyFill="1" applyBorder="1" applyAlignment="1">
      <alignment horizontal="left" vertical="center"/>
    </xf>
    <xf numFmtId="173" fontId="48" fillId="2" borderId="50" xfId="0" applyNumberFormat="1" applyFont="1" applyFill="1" applyBorder="1" applyAlignment="1">
      <alignment horizontal="left" vertical="center"/>
    </xf>
    <xf numFmtId="165" fontId="48" fillId="0" borderId="35" xfId="0" applyNumberFormat="1" applyFont="1" applyBorder="1" applyAlignment="1">
      <alignment vertical="center"/>
    </xf>
    <xf numFmtId="165" fontId="48" fillId="0" borderId="29" xfId="0" applyNumberFormat="1" applyFont="1" applyBorder="1" applyAlignment="1">
      <alignment vertical="center"/>
    </xf>
    <xf numFmtId="165" fontId="48" fillId="2" borderId="30" xfId="0" applyNumberFormat="1" applyFont="1" applyFill="1" applyBorder="1" applyAlignment="1">
      <alignment horizontal="left" vertical="center"/>
    </xf>
    <xf numFmtId="165" fontId="48" fillId="2" borderId="29" xfId="0" applyNumberFormat="1" applyFont="1" applyFill="1" applyBorder="1" applyAlignment="1">
      <alignment vertical="center"/>
    </xf>
    <xf numFmtId="165" fontId="48" fillId="2" borderId="23" xfId="0" applyNumberFormat="1" applyFont="1" applyFill="1" applyBorder="1" applyAlignment="1">
      <alignment vertical="center"/>
    </xf>
    <xf numFmtId="165" fontId="48" fillId="2" borderId="24" xfId="0" applyNumberFormat="1" applyFont="1" applyFill="1" applyBorder="1" applyAlignment="1">
      <alignment horizontal="left" vertical="center"/>
    </xf>
    <xf numFmtId="165" fontId="48" fillId="2" borderId="25" xfId="0" applyNumberFormat="1" applyFont="1" applyFill="1" applyBorder="1" applyAlignment="1">
      <alignment horizontal="left" vertical="center"/>
    </xf>
    <xf numFmtId="165" fontId="48" fillId="2" borderId="27" xfId="0" applyNumberFormat="1" applyFont="1" applyFill="1" applyBorder="1" applyAlignment="1">
      <alignment horizontal="left" vertical="center"/>
    </xf>
    <xf numFmtId="165" fontId="48" fillId="2" borderId="22" xfId="0" applyNumberFormat="1" applyFont="1" applyFill="1" applyBorder="1" applyAlignment="1">
      <alignment horizontal="left" vertical="center"/>
    </xf>
    <xf numFmtId="165" fontId="45" fillId="2" borderId="0" xfId="0" applyNumberFormat="1" applyFont="1" applyFill="1" applyAlignment="1">
      <alignment horizontal="center" vertical="center" wrapText="1"/>
    </xf>
    <xf numFmtId="165" fontId="55" fillId="2" borderId="16" xfId="1" applyNumberFormat="1" applyFont="1" applyFill="1" applyBorder="1" applyAlignment="1">
      <alignment horizontal="center" vertical="center" wrapText="1"/>
    </xf>
    <xf numFmtId="165" fontId="45" fillId="2" borderId="0" xfId="1" applyNumberFormat="1" applyFont="1" applyFill="1" applyBorder="1" applyAlignment="1">
      <alignment horizontal="center" vertical="center" wrapText="1"/>
    </xf>
    <xf numFmtId="0" fontId="48" fillId="2" borderId="15" xfId="0" applyFont="1" applyFill="1" applyBorder="1" applyAlignment="1">
      <alignment vertical="center"/>
    </xf>
    <xf numFmtId="165" fontId="48" fillId="0" borderId="22" xfId="0" applyNumberFormat="1" applyFont="1" applyBorder="1" applyAlignment="1">
      <alignment horizontal="left" vertical="center"/>
    </xf>
    <xf numFmtId="165" fontId="48" fillId="0" borderId="51" xfId="0" applyNumberFormat="1" applyFont="1" applyBorder="1" applyAlignment="1">
      <alignment horizontal="left" vertical="center"/>
    </xf>
    <xf numFmtId="165" fontId="48" fillId="0" borderId="25" xfId="0" applyNumberFormat="1" applyFont="1" applyBorder="1" applyAlignment="1">
      <alignment horizontal="left" vertical="center"/>
    </xf>
    <xf numFmtId="0" fontId="42" fillId="9" borderId="0" xfId="0" applyFont="1" applyFill="1" applyAlignment="1">
      <alignment vertic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left" wrapText="1"/>
    </xf>
    <xf numFmtId="0" fontId="23" fillId="0" borderId="21" xfId="0" applyFont="1" applyBorder="1" applyAlignment="1">
      <alignment horizontal="center"/>
    </xf>
    <xf numFmtId="0" fontId="23" fillId="0" borderId="32" xfId="0" applyFont="1" applyBorder="1" applyAlignment="1">
      <alignment horizontal="center"/>
    </xf>
  </cellXfs>
  <cellStyles count="8">
    <cellStyle name="Гиперссылка" xfId="7" builtinId="8"/>
    <cellStyle name="Обычный" xfId="0" builtinId="0"/>
    <cellStyle name="Обычный 2" xfId="4" xr:uid="{724990D1-53FE-4458-8D82-28D698150DE0}"/>
    <cellStyle name="Обычный 2 2" xfId="6" xr:uid="{FECDBA20-FEB1-4A01-8802-423BEE6840FE}"/>
    <cellStyle name="Обычный 3" xfId="5" xr:uid="{648A4A96-9E4A-40C9-91E0-E0A7F7F7DBEC}"/>
    <cellStyle name="Обычный 5" xfId="3" xr:uid="{5F657313-BBC1-4051-8BB7-D8E4F512FE20}"/>
    <cellStyle name="Процентный" xfId="2" builtinId="5"/>
    <cellStyle name="Финансовый" xfId="1" builtinId="3"/>
  </cellStyles>
  <dxfs count="7">
    <dxf>
      <font>
        <color rgb="FFFF0000"/>
      </font>
      <fill>
        <patternFill patternType="none"/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DE2A00"/>
      <color rgb="FFC7FDCD"/>
      <color rgb="FFFF3300"/>
      <color rgb="FFFFAB97"/>
      <color rgb="FF6600FF"/>
      <color rgb="FFFF4F25"/>
      <color rgb="FFBC8FFF"/>
      <color rgb="FF009900"/>
      <color rgb="FF39A192"/>
      <color rgb="FFB6C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192534</xdr:colOff>
      <xdr:row>3</xdr:row>
      <xdr:rowOff>285916</xdr:rowOff>
    </xdr:from>
    <xdr:to>
      <xdr:col>12</xdr:col>
      <xdr:colOff>520013</xdr:colOff>
      <xdr:row>3</xdr:row>
      <xdr:rowOff>1036207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F08E256-555A-32FD-DD50-B3539B3BE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858" y="929162"/>
          <a:ext cx="4038519" cy="750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22266</xdr:colOff>
      <xdr:row>2</xdr:row>
      <xdr:rowOff>14844</xdr:rowOff>
    </xdr:from>
    <xdr:to>
      <xdr:col>31</xdr:col>
      <xdr:colOff>590058</xdr:colOff>
      <xdr:row>4</xdr:row>
      <xdr:rowOff>157990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D591A5D-B5D1-ED99-CD63-969B0267D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7642" y="381000"/>
          <a:ext cx="2846371" cy="519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anya%20M\Desktop\&#1040;&#1085;&#1075;&#1083;&#1080;&#1081;&#1089;&#1082;&#1080;&#1081;-&#1060;&#1088;&#1072;&#1085;&#1094;&#1091;&#1079;&#1089;&#1082;&#1080;&#1081;%201\&#1040;&#1085;&#1075;&#1083;&#1080;&#1081;&#1089;&#1082;&#1080;&#1081;-&#1060;&#1088;&#1072;&#1085;&#1094;&#1091;&#1079;&#1089;&#1082;&#1080;&#1081;%202\2.%20&#1050;&#1086;&#1092;&#1077;%20&#1051;&#1072;&#1087;&#1072;&#1060;&#1069;\&#1060;&#1080;&#1085;&#1084;&#1086;&#1076;&#1077;&#1083;&#1100;%20&#1051;&#1072;&#1087;&#1072;&#1060;&#1101;.xlsx" TargetMode="External"/><Relationship Id="rId1" Type="http://schemas.openxmlformats.org/officeDocument/2006/relationships/externalLinkPath" Target="/Users/Tanya%20M/Desktop/&#1040;&#1085;&#1075;&#1083;&#1080;&#1081;&#1089;&#1082;&#1080;&#1081;-&#1060;&#1088;&#1072;&#1085;&#1094;&#1091;&#1079;&#1089;&#1082;&#1080;&#1081;%201/&#1040;&#1085;&#1075;&#1083;&#1080;&#1081;&#1089;&#1082;&#1080;&#1081;-&#1060;&#1088;&#1072;&#1085;&#1094;&#1091;&#1079;&#1089;&#1082;&#1080;&#1081;%202/2.%20&#1050;&#1086;&#1092;&#1077;%20&#1051;&#1072;&#1087;&#1072;&#1060;&#1069;/&#1060;&#1080;&#1085;&#1084;&#1086;&#1076;&#1077;&#1083;&#1100;%20&#1051;&#1072;&#1087;&#1072;&#1060;&#11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Титул"/>
      <sheetName val="Исходные данные"/>
      <sheetName val="Инвестиции"/>
      <sheetName val="Финмодель"/>
    </sheetNames>
    <sheetDataSet>
      <sheetData sheetId="0" refreshError="1"/>
      <sheetData sheetId="1">
        <row r="25">
          <cell r="D25">
            <v>290</v>
          </cell>
        </row>
        <row r="26">
          <cell r="D26">
            <v>70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atent.nalog.ru/info/" TargetMode="Externa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5E467-F0AA-4ADF-B5EA-4D934E3F49F2}">
  <dimension ref="A1:O9"/>
  <sheetViews>
    <sheetView showGridLines="0" zoomScale="99" zoomScaleNormal="99" workbookViewId="0">
      <selection activeCell="F3" sqref="F3"/>
    </sheetView>
  </sheetViews>
  <sheetFormatPr defaultColWidth="9.23046875" defaultRowHeight="14.15" x14ac:dyDescent="0.35"/>
  <cols>
    <col min="1" max="3" width="1.15234375" style="7" customWidth="1"/>
    <col min="4" max="4" width="2.765625" style="7" customWidth="1"/>
    <col min="5" max="5" width="4.07421875" style="7" customWidth="1"/>
    <col min="6" max="10" width="6.15234375" style="7" customWidth="1"/>
    <col min="11" max="13" width="8.84375" style="7" customWidth="1"/>
    <col min="14" max="14" width="9.15234375" style="7" customWidth="1"/>
    <col min="15" max="15" width="1.3828125" style="7" customWidth="1"/>
    <col min="16" max="17" width="8.84375" style="7" customWidth="1"/>
    <col min="18" max="16384" width="9.23046875" style="7"/>
  </cols>
  <sheetData>
    <row r="1" spans="1:15" ht="5.15" customHeigh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35">
      <c r="A2" s="4"/>
      <c r="B2" s="1"/>
      <c r="C2" s="1"/>
      <c r="D2" s="1"/>
      <c r="E2" s="1"/>
      <c r="F2" s="1"/>
      <c r="G2" s="1"/>
      <c r="H2" s="1"/>
      <c r="I2" s="5"/>
      <c r="J2" s="1"/>
      <c r="K2" s="1"/>
      <c r="L2" s="1"/>
      <c r="M2" s="1"/>
      <c r="N2" s="1"/>
      <c r="O2" s="4"/>
    </row>
    <row r="3" spans="1:15" ht="31.3" x14ac:dyDescent="0.75">
      <c r="A3" s="4"/>
      <c r="B3" s="1"/>
      <c r="C3" s="1"/>
      <c r="D3" s="1"/>
      <c r="E3" s="6"/>
      <c r="F3" s="6"/>
      <c r="G3" s="6"/>
      <c r="H3" s="6"/>
      <c r="I3" s="5"/>
      <c r="J3" s="362" t="s">
        <v>30</v>
      </c>
      <c r="K3" s="6"/>
      <c r="L3" s="6"/>
      <c r="M3" s="6"/>
      <c r="N3" s="2"/>
      <c r="O3" s="4"/>
    </row>
    <row r="4" spans="1:15" ht="108" customHeight="1" x14ac:dyDescent="0.55000000000000004">
      <c r="A4" s="4"/>
      <c r="B4" s="1"/>
      <c r="C4" s="1"/>
      <c r="D4" s="1"/>
      <c r="E4"/>
      <c r="F4" s="143"/>
      <c r="G4" s="143"/>
      <c r="H4" s="143"/>
      <c r="I4" s="143"/>
      <c r="J4" s="143"/>
      <c r="K4" s="143"/>
      <c r="L4" s="143"/>
      <c r="M4" s="143"/>
      <c r="N4" s="1"/>
      <c r="O4" s="4"/>
    </row>
    <row r="5" spans="1:15" x14ac:dyDescent="0.35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4"/>
    </row>
    <row r="6" spans="1:15" ht="19.3" customHeight="1" x14ac:dyDescent="0.35">
      <c r="A6" s="4"/>
      <c r="B6" s="1"/>
      <c r="C6" s="1"/>
      <c r="D6" s="1"/>
      <c r="E6" s="1"/>
      <c r="F6" s="363" t="s">
        <v>155</v>
      </c>
      <c r="G6" s="363"/>
      <c r="H6" s="363"/>
      <c r="I6" s="363"/>
      <c r="J6" s="363"/>
      <c r="K6" s="363"/>
      <c r="L6" s="363"/>
      <c r="M6" s="363"/>
      <c r="N6" s="1"/>
      <c r="O6" s="4"/>
    </row>
    <row r="7" spans="1:15" ht="19.3" customHeight="1" x14ac:dyDescent="0.35">
      <c r="A7" s="4"/>
      <c r="B7" s="1"/>
      <c r="C7" s="1"/>
      <c r="D7" s="1"/>
      <c r="E7" s="1"/>
      <c r="F7" s="363"/>
      <c r="G7" s="363"/>
      <c r="H7" s="363"/>
      <c r="I7" s="363"/>
      <c r="J7" s="363"/>
      <c r="K7" s="363"/>
      <c r="L7" s="363"/>
      <c r="M7" s="363"/>
      <c r="N7" s="1"/>
      <c r="O7" s="4"/>
    </row>
    <row r="8" spans="1:15" ht="9.4499999999999993" customHeight="1" x14ac:dyDescent="0.6">
      <c r="A8" s="4"/>
      <c r="B8" s="1"/>
      <c r="C8" s="1"/>
      <c r="D8" s="1"/>
      <c r="E8" s="1"/>
      <c r="F8" s="1"/>
      <c r="G8" s="1"/>
      <c r="H8" s="3"/>
      <c r="I8" s="3"/>
      <c r="J8" s="3"/>
      <c r="K8" s="3"/>
      <c r="L8" s="3"/>
      <c r="M8" s="3"/>
      <c r="N8" s="3"/>
      <c r="O8" s="4"/>
    </row>
    <row r="9" spans="1:15" ht="5.1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</sheetData>
  <mergeCells count="2">
    <mergeCell ref="F4:M4"/>
    <mergeCell ref="F6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D6A5-F282-4789-9397-96EE3117F365}">
  <dimension ref="A1:AK135"/>
  <sheetViews>
    <sheetView showGridLines="0" topLeftCell="A46" zoomScale="81" zoomScaleNormal="81" workbookViewId="0">
      <selection activeCell="C10" sqref="C10"/>
    </sheetView>
  </sheetViews>
  <sheetFormatPr defaultColWidth="8.84375" defaultRowHeight="14.6" zeroHeight="1" x14ac:dyDescent="0.4"/>
  <cols>
    <col min="1" max="1" width="4.53515625" style="121" customWidth="1"/>
    <col min="2" max="2" width="6.3046875" style="127" customWidth="1"/>
    <col min="3" max="3" width="52.3046875" style="142" customWidth="1"/>
    <col min="4" max="4" width="13.3046875" style="142" customWidth="1"/>
    <col min="5" max="5" width="15.53515625" style="142" customWidth="1"/>
    <col min="6" max="7" width="16.53515625" style="142" customWidth="1"/>
    <col min="8" max="8" width="18.3046875" style="137" customWidth="1"/>
    <col min="9" max="9" width="20.3046875" style="137" customWidth="1"/>
    <col min="10" max="10" width="24.15234375" style="127" customWidth="1"/>
    <col min="11" max="13" width="13.15234375" style="121" customWidth="1"/>
    <col min="14" max="33" width="8.84375" style="121" customWidth="1"/>
    <col min="34" max="37" width="8.84375" style="121"/>
    <col min="38" max="16384" width="8.84375" style="126"/>
  </cols>
  <sheetData>
    <row r="1" spans="2:10" s="121" customFormat="1" x14ac:dyDescent="0.4">
      <c r="C1" s="122"/>
      <c r="D1" s="122"/>
      <c r="E1" s="122"/>
      <c r="F1" s="122"/>
      <c r="G1" s="122"/>
      <c r="H1" s="123"/>
      <c r="I1" s="123"/>
    </row>
    <row r="2" spans="2:10" x14ac:dyDescent="0.4">
      <c r="B2" s="124"/>
      <c r="C2" s="12"/>
      <c r="D2" s="12"/>
      <c r="E2" s="12"/>
      <c r="F2" s="12"/>
      <c r="G2" s="12"/>
      <c r="H2" s="125"/>
      <c r="I2" s="125"/>
      <c r="J2" s="124"/>
    </row>
    <row r="3" spans="2:10" ht="15" thickBot="1" x14ac:dyDescent="0.45">
      <c r="B3" s="124"/>
      <c r="C3" s="95" t="s">
        <v>65</v>
      </c>
      <c r="D3" s="12"/>
      <c r="E3" s="127"/>
      <c r="F3" s="12"/>
      <c r="G3" s="12"/>
      <c r="H3" s="12"/>
      <c r="I3" s="12"/>
      <c r="J3" s="124"/>
    </row>
    <row r="4" spans="2:10" ht="15" thickBot="1" x14ac:dyDescent="0.45">
      <c r="B4" s="124"/>
      <c r="C4" s="128" t="s">
        <v>68</v>
      </c>
      <c r="D4" s="12"/>
      <c r="E4" s="12"/>
      <c r="F4" s="12"/>
      <c r="G4" s="12"/>
      <c r="H4" s="12"/>
      <c r="I4" s="12"/>
      <c r="J4" s="124"/>
    </row>
    <row r="5" spans="2:10" x14ac:dyDescent="0.4">
      <c r="B5" s="124"/>
      <c r="C5" s="129" t="s">
        <v>99</v>
      </c>
      <c r="D5" s="12"/>
      <c r="E5" s="12"/>
      <c r="F5" s="12"/>
      <c r="G5" s="12"/>
      <c r="H5" s="12"/>
      <c r="I5" s="12"/>
      <c r="J5" s="124"/>
    </row>
    <row r="6" spans="2:10" x14ac:dyDescent="0.4">
      <c r="B6" s="124"/>
      <c r="C6" s="12"/>
      <c r="D6" s="12"/>
      <c r="E6" s="12"/>
      <c r="F6" s="12"/>
      <c r="G6" s="12"/>
      <c r="H6" s="125"/>
      <c r="I6" s="125"/>
      <c r="J6" s="124"/>
    </row>
    <row r="7" spans="2:10" ht="17.600000000000001" thickBot="1" x14ac:dyDescent="0.45">
      <c r="B7" s="124"/>
      <c r="C7" s="296" t="s">
        <v>13</v>
      </c>
      <c r="D7" s="297"/>
      <c r="E7" s="297"/>
      <c r="F7" s="297"/>
      <c r="G7" s="297"/>
      <c r="H7" s="130"/>
      <c r="I7" s="130"/>
      <c r="J7" s="124"/>
    </row>
    <row r="8" spans="2:10" ht="15" thickBot="1" x14ac:dyDescent="0.45">
      <c r="B8" s="124"/>
      <c r="C8" s="298"/>
      <c r="D8" s="298"/>
      <c r="E8" s="298"/>
      <c r="F8" s="298"/>
      <c r="G8" s="298"/>
      <c r="H8" s="125"/>
      <c r="I8" s="125"/>
      <c r="J8" s="124"/>
    </row>
    <row r="9" spans="2:10" ht="17.5" customHeight="1" thickBot="1" x14ac:dyDescent="0.45">
      <c r="B9" s="124"/>
      <c r="C9" s="299" t="s">
        <v>116</v>
      </c>
      <c r="D9" s="300"/>
      <c r="E9" s="300"/>
      <c r="F9" s="300"/>
      <c r="G9" s="301">
        <v>3500000</v>
      </c>
      <c r="H9" s="125"/>
      <c r="I9" s="125"/>
      <c r="J9" s="124"/>
    </row>
    <row r="10" spans="2:10" x14ac:dyDescent="0.4">
      <c r="B10" s="124"/>
      <c r="C10" s="14"/>
      <c r="D10" s="15"/>
      <c r="E10" s="15"/>
      <c r="F10" s="15"/>
      <c r="G10" s="132"/>
      <c r="H10" s="125"/>
      <c r="I10" s="125"/>
      <c r="J10" s="124"/>
    </row>
    <row r="11" spans="2:10" ht="16" customHeight="1" x14ac:dyDescent="0.4">
      <c r="B11" s="124"/>
      <c r="C11" s="302" t="s">
        <v>100</v>
      </c>
      <c r="D11" s="303"/>
      <c r="E11" s="133">
        <v>170</v>
      </c>
      <c r="F11" s="134"/>
      <c r="G11" s="131"/>
      <c r="H11" s="125"/>
      <c r="I11" s="125"/>
      <c r="J11" s="124"/>
    </row>
    <row r="12" spans="2:10" ht="16" customHeight="1" thickBot="1" x14ac:dyDescent="0.45">
      <c r="B12" s="124"/>
      <c r="C12" s="304"/>
      <c r="D12" s="305"/>
      <c r="E12" s="134"/>
      <c r="F12" s="134"/>
      <c r="G12" s="131"/>
      <c r="H12" s="125"/>
      <c r="I12" s="125"/>
      <c r="J12" s="124"/>
    </row>
    <row r="13" spans="2:10" ht="16" customHeight="1" thickBot="1" x14ac:dyDescent="0.45">
      <c r="B13" s="124"/>
      <c r="C13" s="306" t="s">
        <v>120</v>
      </c>
      <c r="D13" s="307"/>
      <c r="E13" s="16" t="s">
        <v>118</v>
      </c>
      <c r="F13" s="17"/>
      <c r="G13" s="131"/>
      <c r="H13" s="125"/>
      <c r="I13" s="125"/>
      <c r="J13" s="124"/>
    </row>
    <row r="14" spans="2:10" x14ac:dyDescent="0.4">
      <c r="B14" s="124"/>
      <c r="C14" s="298"/>
      <c r="D14" s="298"/>
      <c r="E14" s="131"/>
      <c r="F14" s="131"/>
      <c r="G14" s="131"/>
      <c r="H14" s="125"/>
      <c r="I14" s="125"/>
      <c r="J14" s="124"/>
    </row>
    <row r="15" spans="2:10" ht="15" thickBot="1" x14ac:dyDescent="0.45">
      <c r="B15" s="124"/>
      <c r="C15" s="308" t="s">
        <v>90</v>
      </c>
      <c r="D15" s="309"/>
      <c r="E15" s="22"/>
      <c r="F15" s="22"/>
      <c r="G15" s="22"/>
      <c r="H15" s="125"/>
      <c r="I15" s="125"/>
      <c r="J15" s="124"/>
    </row>
    <row r="16" spans="2:10" x14ac:dyDescent="0.4">
      <c r="B16" s="124"/>
      <c r="C16" s="304"/>
      <c r="D16" s="310" t="s">
        <v>0</v>
      </c>
      <c r="E16" s="310" t="s">
        <v>118</v>
      </c>
      <c r="F16" s="310" t="s">
        <v>119</v>
      </c>
      <c r="G16" s="310" t="s">
        <v>2</v>
      </c>
      <c r="H16" s="125"/>
      <c r="I16" s="125"/>
      <c r="J16" s="124"/>
    </row>
    <row r="17" spans="2:10" x14ac:dyDescent="0.4">
      <c r="B17" s="124"/>
      <c r="C17" s="311" t="s">
        <v>117</v>
      </c>
      <c r="D17" s="312">
        <v>0</v>
      </c>
      <c r="E17" s="113">
        <v>225000</v>
      </c>
      <c r="F17" s="113">
        <v>225000</v>
      </c>
      <c r="G17" s="18">
        <f>IF($E$13="Цена MAX",D17*F17,D17*E17)</f>
        <v>0</v>
      </c>
      <c r="H17" s="125"/>
      <c r="I17" s="125"/>
      <c r="J17" s="135"/>
    </row>
    <row r="18" spans="2:10" x14ac:dyDescent="0.4">
      <c r="B18" s="124"/>
      <c r="C18" s="311" t="s">
        <v>54</v>
      </c>
      <c r="D18" s="313">
        <f>$E$11</f>
        <v>170</v>
      </c>
      <c r="E18" s="113">
        <v>23500</v>
      </c>
      <c r="F18" s="113">
        <v>29000</v>
      </c>
      <c r="G18" s="18">
        <f t="shared" ref="G18:G22" si="0">IF($E$13="Цена MAX",D18*F18,D18*E18)</f>
        <v>3995000</v>
      </c>
      <c r="H18" s="136" t="s">
        <v>37</v>
      </c>
      <c r="J18" s="135"/>
    </row>
    <row r="19" spans="2:10" x14ac:dyDescent="0.4">
      <c r="B19" s="124"/>
      <c r="C19" s="311" t="s">
        <v>91</v>
      </c>
      <c r="D19" s="313">
        <f>$E$11</f>
        <v>170</v>
      </c>
      <c r="E19" s="113">
        <v>1700</v>
      </c>
      <c r="F19" s="113">
        <v>3200</v>
      </c>
      <c r="G19" s="18">
        <f t="shared" si="0"/>
        <v>289000</v>
      </c>
      <c r="H19" s="138"/>
      <c r="J19" s="135"/>
    </row>
    <row r="20" spans="2:10" x14ac:dyDescent="0.4">
      <c r="B20" s="124"/>
      <c r="C20" s="311" t="s">
        <v>94</v>
      </c>
      <c r="D20" s="313">
        <v>1</v>
      </c>
      <c r="E20" s="113">
        <v>500</v>
      </c>
      <c r="F20" s="113">
        <v>1200</v>
      </c>
      <c r="G20" s="18">
        <f t="shared" si="0"/>
        <v>500</v>
      </c>
      <c r="H20" s="138"/>
      <c r="J20" s="135"/>
    </row>
    <row r="21" spans="2:10" x14ac:dyDescent="0.4">
      <c r="B21" s="124"/>
      <c r="C21" s="311" t="s">
        <v>96</v>
      </c>
      <c r="D21" s="312">
        <v>1</v>
      </c>
      <c r="E21" s="113">
        <v>40000</v>
      </c>
      <c r="F21" s="113">
        <v>100000</v>
      </c>
      <c r="G21" s="18">
        <f t="shared" si="0"/>
        <v>40000</v>
      </c>
      <c r="H21" s="138"/>
      <c r="J21" s="135"/>
    </row>
    <row r="22" spans="2:10" x14ac:dyDescent="0.4">
      <c r="B22" s="124"/>
      <c r="C22" s="311" t="s">
        <v>32</v>
      </c>
      <c r="D22" s="312">
        <v>1</v>
      </c>
      <c r="E22" s="113">
        <v>100000</v>
      </c>
      <c r="F22" s="113">
        <v>200000</v>
      </c>
      <c r="G22" s="18">
        <f t="shared" si="0"/>
        <v>100000</v>
      </c>
      <c r="H22" s="138"/>
      <c r="J22" s="135"/>
    </row>
    <row r="23" spans="2:10" x14ac:dyDescent="0.4">
      <c r="B23" s="124"/>
      <c r="C23" s="314" t="s">
        <v>3</v>
      </c>
      <c r="D23" s="315"/>
      <c r="E23" s="20"/>
      <c r="F23" s="20"/>
      <c r="G23" s="20">
        <f>SUBTOTAL(9,G17:G22)</f>
        <v>4424500</v>
      </c>
      <c r="H23" s="138"/>
      <c r="J23" s="135"/>
    </row>
    <row r="24" spans="2:10" x14ac:dyDescent="0.4">
      <c r="B24" s="124"/>
      <c r="C24" s="316"/>
      <c r="D24" s="317"/>
      <c r="E24" s="21"/>
      <c r="F24" s="21"/>
      <c r="G24" s="21"/>
      <c r="H24" s="138"/>
      <c r="J24" s="135"/>
    </row>
    <row r="25" spans="2:10" ht="15" thickBot="1" x14ac:dyDescent="0.45">
      <c r="B25" s="124"/>
      <c r="C25" s="308" t="s">
        <v>55</v>
      </c>
      <c r="D25" s="309"/>
      <c r="E25" s="22"/>
      <c r="F25" s="22"/>
      <c r="G25" s="22"/>
      <c r="H25" s="138"/>
      <c r="J25" s="135"/>
    </row>
    <row r="26" spans="2:10" x14ac:dyDescent="0.4">
      <c r="B26" s="124"/>
      <c r="C26" s="304"/>
      <c r="D26" s="310" t="s">
        <v>0</v>
      </c>
      <c r="E26" s="310" t="s">
        <v>118</v>
      </c>
      <c r="F26" s="310" t="s">
        <v>119</v>
      </c>
      <c r="G26" s="310" t="s">
        <v>2</v>
      </c>
      <c r="H26" s="138"/>
      <c r="J26" s="135"/>
    </row>
    <row r="27" spans="2:10" x14ac:dyDescent="0.4">
      <c r="B27" s="124"/>
      <c r="C27" s="318" t="s">
        <v>92</v>
      </c>
      <c r="D27" s="312">
        <v>1</v>
      </c>
      <c r="E27" s="113">
        <v>2500000</v>
      </c>
      <c r="F27" s="113">
        <v>3200000</v>
      </c>
      <c r="G27" s="18">
        <f t="shared" ref="G27:G30" si="1">IF($E$13="Цена MAX",D27*F27,D27*E27)</f>
        <v>2500000</v>
      </c>
      <c r="H27" s="138"/>
      <c r="J27" s="135"/>
    </row>
    <row r="28" spans="2:10" ht="24" x14ac:dyDescent="0.4">
      <c r="B28" s="124"/>
      <c r="C28" s="318" t="s">
        <v>125</v>
      </c>
      <c r="D28" s="312">
        <v>1</v>
      </c>
      <c r="E28" s="113">
        <v>400000</v>
      </c>
      <c r="F28" s="113">
        <v>600000</v>
      </c>
      <c r="G28" s="18">
        <f t="shared" si="1"/>
        <v>400000</v>
      </c>
      <c r="H28" s="138"/>
      <c r="J28" s="135"/>
    </row>
    <row r="29" spans="2:10" x14ac:dyDescent="0.4">
      <c r="B29" s="124"/>
      <c r="C29" s="318" t="s">
        <v>93</v>
      </c>
      <c r="D29" s="312">
        <v>1</v>
      </c>
      <c r="E29" s="113">
        <v>30000</v>
      </c>
      <c r="F29" s="113">
        <v>60000</v>
      </c>
      <c r="G29" s="18">
        <f t="shared" si="1"/>
        <v>30000</v>
      </c>
      <c r="H29" s="138"/>
      <c r="J29" s="135"/>
    </row>
    <row r="30" spans="2:10" ht="14.5" customHeight="1" x14ac:dyDescent="0.4">
      <c r="B30" s="124"/>
      <c r="C30" s="318" t="s">
        <v>97</v>
      </c>
      <c r="D30" s="312">
        <v>1</v>
      </c>
      <c r="E30" s="113">
        <v>60000</v>
      </c>
      <c r="F30" s="113">
        <v>65000</v>
      </c>
      <c r="G30" s="18">
        <f t="shared" si="1"/>
        <v>60000</v>
      </c>
      <c r="H30" s="138"/>
      <c r="J30" s="135"/>
    </row>
    <row r="31" spans="2:10" x14ac:dyDescent="0.4">
      <c r="B31" s="124"/>
      <c r="C31" s="314" t="s">
        <v>3</v>
      </c>
      <c r="D31" s="315"/>
      <c r="E31" s="20"/>
      <c r="F31" s="20"/>
      <c r="G31" s="20">
        <f>SUBTOTAL(9,G27:G30)</f>
        <v>2990000</v>
      </c>
      <c r="H31" s="125"/>
      <c r="J31" s="135"/>
    </row>
    <row r="32" spans="2:10" x14ac:dyDescent="0.4">
      <c r="B32" s="124"/>
      <c r="C32" s="316"/>
      <c r="D32" s="317"/>
      <c r="E32" s="21"/>
      <c r="F32" s="21"/>
      <c r="G32" s="21"/>
      <c r="H32" s="125"/>
      <c r="J32" s="135"/>
    </row>
    <row r="33" spans="2:10" ht="15" thickBot="1" x14ac:dyDescent="0.45">
      <c r="B33" s="124"/>
      <c r="C33" s="308" t="s">
        <v>4</v>
      </c>
      <c r="D33" s="309"/>
      <c r="E33" s="22"/>
      <c r="F33" s="22"/>
      <c r="G33" s="22"/>
      <c r="H33" s="125"/>
      <c r="J33" s="135"/>
    </row>
    <row r="34" spans="2:10" x14ac:dyDescent="0.4">
      <c r="B34" s="124"/>
      <c r="C34" s="304"/>
      <c r="D34" s="310" t="s">
        <v>0</v>
      </c>
      <c r="E34" s="310" t="s">
        <v>118</v>
      </c>
      <c r="F34" s="310" t="s">
        <v>119</v>
      </c>
      <c r="G34" s="310" t="s">
        <v>2</v>
      </c>
      <c r="H34" s="125"/>
      <c r="J34" s="135"/>
    </row>
    <row r="35" spans="2:10" x14ac:dyDescent="0.4">
      <c r="B35" s="124"/>
      <c r="C35" s="318" t="s">
        <v>89</v>
      </c>
      <c r="D35" s="319">
        <v>1</v>
      </c>
      <c r="E35" s="114">
        <v>1200000</v>
      </c>
      <c r="F35" s="114">
        <v>1550000</v>
      </c>
      <c r="G35" s="23">
        <f>IF($E$13="Цена MAX",D35*F35,D35*E35)</f>
        <v>1200000</v>
      </c>
      <c r="H35" s="125"/>
      <c r="J35" s="135"/>
    </row>
    <row r="36" spans="2:10" x14ac:dyDescent="0.4">
      <c r="B36" s="124"/>
      <c r="C36" s="318" t="s">
        <v>95</v>
      </c>
      <c r="D36" s="319">
        <v>1</v>
      </c>
      <c r="E36" s="115">
        <v>10000</v>
      </c>
      <c r="F36" s="115">
        <v>15000</v>
      </c>
      <c r="G36" s="23">
        <f t="shared" ref="G36:G40" si="2">IF($E$13="Цена MAX",D36*F36,D36*E36)</f>
        <v>10000</v>
      </c>
      <c r="H36" s="125"/>
      <c r="J36" s="135"/>
    </row>
    <row r="37" spans="2:10" ht="24" x14ac:dyDescent="0.4">
      <c r="B37" s="124"/>
      <c r="C37" s="318" t="s">
        <v>98</v>
      </c>
      <c r="D37" s="312">
        <v>1</v>
      </c>
      <c r="E37" s="116">
        <v>550000</v>
      </c>
      <c r="F37" s="116">
        <v>400000</v>
      </c>
      <c r="G37" s="18">
        <f t="shared" si="2"/>
        <v>550000</v>
      </c>
      <c r="H37" s="125"/>
      <c r="J37" s="135"/>
    </row>
    <row r="38" spans="2:10" x14ac:dyDescent="0.4">
      <c r="B38" s="124"/>
      <c r="C38" s="318" t="s">
        <v>72</v>
      </c>
      <c r="D38" s="312">
        <v>1</v>
      </c>
      <c r="E38" s="113">
        <v>4000</v>
      </c>
      <c r="F38" s="113">
        <v>44000</v>
      </c>
      <c r="G38" s="18">
        <f t="shared" si="2"/>
        <v>4000</v>
      </c>
      <c r="H38" s="125"/>
      <c r="J38" s="135"/>
    </row>
    <row r="39" spans="2:10" ht="24" x14ac:dyDescent="0.4">
      <c r="B39" s="124"/>
      <c r="C39" s="318" t="s">
        <v>88</v>
      </c>
      <c r="D39" s="312">
        <v>1</v>
      </c>
      <c r="E39" s="113">
        <v>35000</v>
      </c>
      <c r="F39" s="113">
        <v>35000</v>
      </c>
      <c r="G39" s="18">
        <f>IF($E$13="Цена MAX",D39*F39,D39*E39)</f>
        <v>35000</v>
      </c>
      <c r="H39" s="125"/>
      <c r="J39" s="135"/>
    </row>
    <row r="40" spans="2:10" x14ac:dyDescent="0.4">
      <c r="B40" s="124"/>
      <c r="C40" s="318" t="s">
        <v>23</v>
      </c>
      <c r="D40" s="312">
        <v>1</v>
      </c>
      <c r="E40" s="24">
        <f>Расходы!$E$10</f>
        <v>425000</v>
      </c>
      <c r="F40" s="24">
        <f>Расходы!$E$10</f>
        <v>425000</v>
      </c>
      <c r="G40" s="18">
        <f t="shared" si="2"/>
        <v>425000</v>
      </c>
      <c r="H40" s="125"/>
      <c r="J40" s="135"/>
    </row>
    <row r="41" spans="2:10" x14ac:dyDescent="0.4">
      <c r="B41" s="124"/>
      <c r="C41" s="318" t="s">
        <v>33</v>
      </c>
      <c r="D41" s="312">
        <v>1</v>
      </c>
      <c r="E41" s="24">
        <v>0</v>
      </c>
      <c r="F41" s="24">
        <v>0</v>
      </c>
      <c r="G41" s="18">
        <f>IF($E$13="Цена MAX",D41*F41,D41*E41)</f>
        <v>0</v>
      </c>
      <c r="H41" s="125" t="s">
        <v>71</v>
      </c>
      <c r="J41" s="135"/>
    </row>
    <row r="42" spans="2:10" x14ac:dyDescent="0.4">
      <c r="B42" s="124"/>
      <c r="C42" s="314" t="s">
        <v>3</v>
      </c>
      <c r="D42" s="315"/>
      <c r="E42" s="20"/>
      <c r="F42" s="20"/>
      <c r="G42" s="20">
        <f>SUBTOTAL(9,G35:G41)</f>
        <v>2224000</v>
      </c>
      <c r="H42" s="127"/>
      <c r="J42" s="135"/>
    </row>
    <row r="43" spans="2:10" x14ac:dyDescent="0.4">
      <c r="B43" s="124"/>
      <c r="C43" s="320"/>
      <c r="D43" s="320"/>
      <c r="E43" s="124"/>
      <c r="F43" s="124"/>
      <c r="G43" s="124"/>
      <c r="H43" s="125"/>
      <c r="J43" s="135"/>
    </row>
    <row r="44" spans="2:10" x14ac:dyDescent="0.4">
      <c r="B44" s="125"/>
      <c r="C44" s="321"/>
      <c r="D44" s="321"/>
      <c r="E44" s="125"/>
      <c r="F44" s="125"/>
      <c r="G44" s="125"/>
      <c r="H44" s="125"/>
      <c r="J44" s="135"/>
    </row>
    <row r="45" spans="2:10" ht="15" thickBot="1" x14ac:dyDescent="0.45">
      <c r="B45" s="124"/>
      <c r="C45" s="308" t="s">
        <v>86</v>
      </c>
      <c r="D45" s="309"/>
      <c r="E45" s="22"/>
      <c r="F45" s="22"/>
      <c r="G45" s="22"/>
      <c r="H45" s="125"/>
      <c r="I45" s="125"/>
      <c r="J45" s="135"/>
    </row>
    <row r="46" spans="2:10" x14ac:dyDescent="0.4">
      <c r="B46" s="124"/>
      <c r="C46" s="304"/>
      <c r="D46" s="310" t="s">
        <v>0</v>
      </c>
      <c r="E46" s="310" t="s">
        <v>1</v>
      </c>
      <c r="F46" s="310"/>
      <c r="G46" s="310" t="s">
        <v>2</v>
      </c>
      <c r="H46" s="125"/>
      <c r="I46" s="125"/>
      <c r="J46" s="135"/>
    </row>
    <row r="47" spans="2:10" x14ac:dyDescent="0.4">
      <c r="B47" s="124"/>
      <c r="C47" s="322" t="s">
        <v>84</v>
      </c>
      <c r="D47" s="323">
        <v>3</v>
      </c>
      <c r="E47" s="25">
        <f>+Расходы!E18</f>
        <v>15000</v>
      </c>
      <c r="F47" s="26"/>
      <c r="G47" s="27">
        <f t="shared" ref="G47:G56" si="3">E47*D47</f>
        <v>45000</v>
      </c>
      <c r="H47" s="125"/>
      <c r="I47" s="125"/>
      <c r="J47" s="135"/>
    </row>
    <row r="48" spans="2:10" x14ac:dyDescent="0.4">
      <c r="B48" s="124"/>
      <c r="C48" s="322" t="s">
        <v>101</v>
      </c>
      <c r="D48" s="324">
        <v>0</v>
      </c>
      <c r="E48" s="28">
        <f>Расходы!$E$10</f>
        <v>425000</v>
      </c>
      <c r="F48" s="29"/>
      <c r="G48" s="27">
        <f t="shared" si="3"/>
        <v>0</v>
      </c>
      <c r="H48" s="125"/>
      <c r="I48" s="125"/>
      <c r="J48" s="135"/>
    </row>
    <row r="49" spans="2:10" x14ac:dyDescent="0.4">
      <c r="B49" s="124"/>
      <c r="C49" s="322" t="s">
        <v>87</v>
      </c>
      <c r="D49" s="323">
        <v>1</v>
      </c>
      <c r="E49" s="28">
        <f>+Расходы!E11</f>
        <v>89250</v>
      </c>
      <c r="F49" s="29"/>
      <c r="G49" s="27">
        <f t="shared" si="3"/>
        <v>89250</v>
      </c>
      <c r="H49" s="125"/>
      <c r="I49" s="125"/>
      <c r="J49" s="135"/>
    </row>
    <row r="50" spans="2:10" x14ac:dyDescent="0.4">
      <c r="B50" s="124"/>
      <c r="C50" s="322" t="s">
        <v>85</v>
      </c>
      <c r="D50" s="323">
        <v>3</v>
      </c>
      <c r="E50" s="25">
        <f>+Расходы!D28</f>
        <v>3000</v>
      </c>
      <c r="F50" s="26"/>
      <c r="G50" s="27">
        <f t="shared" si="3"/>
        <v>9000</v>
      </c>
      <c r="H50" s="125"/>
      <c r="I50" s="125"/>
      <c r="J50" s="135"/>
    </row>
    <row r="51" spans="2:10" ht="24" x14ac:dyDescent="0.4">
      <c r="B51" s="124"/>
      <c r="C51" s="322" t="s">
        <v>121</v>
      </c>
      <c r="D51" s="323">
        <v>1</v>
      </c>
      <c r="E51" s="345">
        <v>26000</v>
      </c>
      <c r="F51" s="346"/>
      <c r="G51" s="347">
        <f t="shared" si="3"/>
        <v>26000</v>
      </c>
      <c r="H51" s="125"/>
      <c r="I51" s="125"/>
      <c r="J51" s="135"/>
    </row>
    <row r="52" spans="2:10" ht="24" x14ac:dyDescent="0.4">
      <c r="B52" s="124"/>
      <c r="C52" s="325" t="s">
        <v>88</v>
      </c>
      <c r="D52" s="326">
        <v>1</v>
      </c>
      <c r="E52" s="348">
        <v>35000</v>
      </c>
      <c r="F52" s="348"/>
      <c r="G52" s="347">
        <f t="shared" si="3"/>
        <v>35000</v>
      </c>
      <c r="H52" s="125"/>
      <c r="I52" s="125"/>
      <c r="J52" s="135"/>
    </row>
    <row r="53" spans="2:10" x14ac:dyDescent="0.4">
      <c r="B53" s="124"/>
      <c r="C53" s="327" t="s">
        <v>111</v>
      </c>
      <c r="D53" s="328"/>
      <c r="E53" s="349"/>
      <c r="F53" s="349"/>
      <c r="G53" s="350"/>
      <c r="H53" s="125"/>
      <c r="I53" s="125"/>
      <c r="J53" s="135"/>
    </row>
    <row r="54" spans="2:10" x14ac:dyDescent="0.4">
      <c r="B54" s="124"/>
      <c r="C54" s="329" t="s">
        <v>108</v>
      </c>
      <c r="D54" s="330">
        <v>4</v>
      </c>
      <c r="E54" s="351">
        <f>80000*2</f>
        <v>160000</v>
      </c>
      <c r="F54" s="351"/>
      <c r="G54" s="352">
        <f t="shared" si="3"/>
        <v>640000</v>
      </c>
      <c r="H54" s="125"/>
      <c r="I54" s="125"/>
      <c r="J54" s="135"/>
    </row>
    <row r="55" spans="2:10" x14ac:dyDescent="0.4">
      <c r="B55" s="124"/>
      <c r="C55" s="322" t="s">
        <v>109</v>
      </c>
      <c r="D55" s="323">
        <v>2</v>
      </c>
      <c r="E55" s="353">
        <f>80000*2</f>
        <v>160000</v>
      </c>
      <c r="F55" s="351"/>
      <c r="G55" s="352">
        <f t="shared" si="3"/>
        <v>320000</v>
      </c>
      <c r="H55" s="125"/>
      <c r="I55" s="125"/>
      <c r="J55" s="135"/>
    </row>
    <row r="56" spans="2:10" x14ac:dyDescent="0.4">
      <c r="B56" s="124"/>
      <c r="C56" s="322" t="s">
        <v>110</v>
      </c>
      <c r="D56" s="323">
        <v>2</v>
      </c>
      <c r="E56" s="353">
        <f>70000*2</f>
        <v>140000</v>
      </c>
      <c r="F56" s="351"/>
      <c r="G56" s="352">
        <f t="shared" si="3"/>
        <v>280000</v>
      </c>
      <c r="H56" s="125"/>
      <c r="I56" s="125"/>
      <c r="J56" s="135"/>
    </row>
    <row r="57" spans="2:10" x14ac:dyDescent="0.4">
      <c r="B57" s="124"/>
      <c r="C57" s="331" t="s">
        <v>3</v>
      </c>
      <c r="D57" s="332"/>
      <c r="E57" s="332"/>
      <c r="F57" s="332"/>
      <c r="G57" s="332">
        <f>SUBTOTAL(9,G47:G56)</f>
        <v>1444250</v>
      </c>
      <c r="H57" s="125"/>
      <c r="I57" s="125"/>
      <c r="J57" s="135"/>
    </row>
    <row r="58" spans="2:10" x14ac:dyDescent="0.4">
      <c r="B58" s="124"/>
      <c r="C58" s="333"/>
      <c r="D58" s="334"/>
      <c r="E58" s="334"/>
      <c r="F58" s="334"/>
      <c r="G58" s="354"/>
      <c r="H58" s="125"/>
      <c r="I58" s="125"/>
      <c r="J58" s="135"/>
    </row>
    <row r="59" spans="2:10" ht="15.45" thickBot="1" x14ac:dyDescent="0.45">
      <c r="B59" s="124"/>
      <c r="C59" s="335" t="s">
        <v>21</v>
      </c>
      <c r="D59" s="336"/>
      <c r="E59" s="336"/>
      <c r="F59" s="336"/>
      <c r="G59" s="355">
        <f>SUBTOTAL(9,G9:G57)</f>
        <v>14582750</v>
      </c>
      <c r="H59" s="125"/>
      <c r="I59" s="125"/>
      <c r="J59" s="135"/>
    </row>
    <row r="60" spans="2:10" ht="15" thickTop="1" x14ac:dyDescent="0.4">
      <c r="B60" s="124"/>
      <c r="C60" s="337"/>
      <c r="D60" s="338"/>
      <c r="E60" s="338"/>
      <c r="F60" s="338"/>
      <c r="G60" s="356"/>
      <c r="H60" s="125"/>
      <c r="I60" s="125"/>
      <c r="J60" s="135"/>
    </row>
    <row r="61" spans="2:10" x14ac:dyDescent="0.4">
      <c r="B61" s="124"/>
      <c r="C61" s="339"/>
      <c r="D61" s="339"/>
      <c r="E61" s="339"/>
      <c r="F61" s="339"/>
      <c r="G61" s="339"/>
      <c r="H61" s="127"/>
      <c r="I61" s="125"/>
      <c r="J61" s="135"/>
    </row>
    <row r="62" spans="2:10" ht="15" thickBot="1" x14ac:dyDescent="0.45">
      <c r="B62" s="124"/>
      <c r="C62" s="340" t="s">
        <v>64</v>
      </c>
      <c r="D62" s="309"/>
      <c r="E62" s="357"/>
      <c r="F62" s="357"/>
      <c r="G62" s="357"/>
      <c r="H62" s="125"/>
      <c r="I62" s="125"/>
      <c r="J62" s="135"/>
    </row>
    <row r="63" spans="2:10" x14ac:dyDescent="0.4">
      <c r="B63" s="124"/>
      <c r="C63" s="304"/>
      <c r="D63" s="310" t="s">
        <v>12</v>
      </c>
      <c r="E63" s="310" t="s">
        <v>1</v>
      </c>
      <c r="F63" s="310"/>
      <c r="G63" s="310" t="s">
        <v>2</v>
      </c>
      <c r="H63" s="125"/>
      <c r="I63" s="125"/>
      <c r="J63" s="135"/>
    </row>
    <row r="64" spans="2:10" x14ac:dyDescent="0.4">
      <c r="B64" s="124"/>
      <c r="C64" s="311" t="s">
        <v>66</v>
      </c>
      <c r="D64" s="341">
        <v>2</v>
      </c>
      <c r="E64" s="345">
        <f>'P&amp;L'!F35</f>
        <v>425000</v>
      </c>
      <c r="F64" s="346"/>
      <c r="G64" s="347">
        <f>E64*D64</f>
        <v>850000</v>
      </c>
      <c r="H64" s="125"/>
      <c r="I64" s="125"/>
      <c r="J64" s="135"/>
    </row>
    <row r="65" spans="2:10" x14ac:dyDescent="0.4">
      <c r="B65" s="124"/>
      <c r="C65" s="311" t="s">
        <v>25</v>
      </c>
      <c r="D65" s="342">
        <v>1.5</v>
      </c>
      <c r="E65" s="319">
        <f>'P&amp;L'!F38</f>
        <v>1128580</v>
      </c>
      <c r="F65" s="358"/>
      <c r="G65" s="350">
        <f>E65*D65</f>
        <v>1692870</v>
      </c>
      <c r="H65" s="125"/>
      <c r="I65" s="125"/>
      <c r="J65" s="135"/>
    </row>
    <row r="66" spans="2:10" x14ac:dyDescent="0.4">
      <c r="B66" s="124"/>
      <c r="C66" s="343" t="s">
        <v>106</v>
      </c>
      <c r="D66" s="344">
        <v>1.5</v>
      </c>
      <c r="E66" s="359">
        <f>'P&amp;L'!F32</f>
        <v>1246740</v>
      </c>
      <c r="F66" s="360"/>
      <c r="G66" s="352">
        <f>E66*D66</f>
        <v>1870110</v>
      </c>
      <c r="H66" s="125"/>
      <c r="I66" s="125"/>
      <c r="J66" s="135"/>
    </row>
    <row r="67" spans="2:10" x14ac:dyDescent="0.4">
      <c r="B67" s="124"/>
      <c r="C67" s="331" t="s">
        <v>3</v>
      </c>
      <c r="D67" s="332"/>
      <c r="E67" s="332"/>
      <c r="F67" s="332"/>
      <c r="G67" s="332">
        <f>SUM(G64:G66)</f>
        <v>4412980</v>
      </c>
      <c r="H67" s="125"/>
      <c r="I67" s="125"/>
      <c r="J67" s="135"/>
    </row>
    <row r="68" spans="2:10" x14ac:dyDescent="0.4">
      <c r="B68" s="124"/>
      <c r="C68" s="316"/>
      <c r="D68" s="317"/>
      <c r="E68" s="316"/>
      <c r="F68" s="316"/>
      <c r="G68" s="316"/>
      <c r="H68" s="125"/>
      <c r="I68" s="125"/>
      <c r="J68" s="135"/>
    </row>
    <row r="69" spans="2:10" x14ac:dyDescent="0.4">
      <c r="B69" s="124"/>
      <c r="C69" s="316"/>
      <c r="D69" s="316"/>
      <c r="E69" s="316"/>
      <c r="F69" s="316"/>
      <c r="G69" s="316"/>
      <c r="H69" s="125"/>
      <c r="I69" s="125"/>
      <c r="J69" s="135"/>
    </row>
    <row r="70" spans="2:10" x14ac:dyDescent="0.4">
      <c r="B70" s="124"/>
      <c r="C70" s="127"/>
      <c r="D70" s="127"/>
      <c r="E70" s="339"/>
      <c r="F70" s="339"/>
      <c r="G70" s="339"/>
      <c r="H70" s="125"/>
      <c r="I70" s="125"/>
      <c r="J70" s="135"/>
    </row>
    <row r="71" spans="2:10" x14ac:dyDescent="0.4">
      <c r="B71" s="124"/>
      <c r="C71" s="127"/>
      <c r="D71" s="127"/>
      <c r="E71" s="339"/>
      <c r="F71" s="339"/>
      <c r="G71" s="339"/>
      <c r="H71" s="127"/>
      <c r="I71" s="125"/>
      <c r="J71" s="135"/>
    </row>
    <row r="72" spans="2:10" s="121" customFormat="1" x14ac:dyDescent="0.4">
      <c r="E72" s="361"/>
      <c r="F72" s="361"/>
      <c r="G72" s="361"/>
      <c r="I72" s="123"/>
      <c r="J72" s="139"/>
    </row>
    <row r="73" spans="2:10" s="121" customFormat="1" x14ac:dyDescent="0.4">
      <c r="I73" s="123"/>
      <c r="J73" s="139"/>
    </row>
    <row r="74" spans="2:10" s="121" customFormat="1" x14ac:dyDescent="0.4">
      <c r="H74" s="123"/>
      <c r="I74" s="123"/>
      <c r="J74" s="139"/>
    </row>
    <row r="75" spans="2:10" s="121" customFormat="1" x14ac:dyDescent="0.4">
      <c r="E75" s="139"/>
      <c r="F75" s="139"/>
      <c r="H75" s="123"/>
      <c r="I75" s="123"/>
      <c r="J75" s="139"/>
    </row>
    <row r="76" spans="2:10" s="121" customFormat="1" x14ac:dyDescent="0.4">
      <c r="C76" s="122"/>
      <c r="D76" s="122"/>
      <c r="E76" s="122"/>
      <c r="F76" s="122"/>
      <c r="G76" s="122"/>
      <c r="H76" s="123"/>
      <c r="I76" s="123"/>
      <c r="J76" s="139"/>
    </row>
    <row r="77" spans="2:10" s="121" customFormat="1" hidden="1" x14ac:dyDescent="0.4">
      <c r="C77" s="122"/>
      <c r="D77" s="122"/>
      <c r="E77" s="122"/>
      <c r="F77" s="122"/>
      <c r="G77" s="122"/>
      <c r="H77" s="123"/>
      <c r="I77" s="123"/>
      <c r="J77" s="139"/>
    </row>
    <row r="78" spans="2:10" s="121" customFormat="1" hidden="1" x14ac:dyDescent="0.4">
      <c r="C78" s="122"/>
      <c r="D78" s="122"/>
      <c r="E78" s="122"/>
      <c r="F78" s="122"/>
      <c r="G78" s="122"/>
      <c r="H78" s="123"/>
      <c r="I78" s="123"/>
      <c r="J78" s="139"/>
    </row>
    <row r="79" spans="2:10" s="121" customFormat="1" hidden="1" x14ac:dyDescent="0.4">
      <c r="C79" s="122"/>
      <c r="D79" s="122"/>
      <c r="E79" s="122"/>
      <c r="F79" s="122"/>
      <c r="G79" s="122"/>
      <c r="H79" s="123"/>
      <c r="I79" s="123"/>
      <c r="J79" s="139"/>
    </row>
    <row r="80" spans="2:10" s="121" customFormat="1" hidden="1" x14ac:dyDescent="0.4">
      <c r="C80" s="122"/>
      <c r="D80" s="122"/>
      <c r="E80" s="122"/>
      <c r="F80" s="122"/>
      <c r="G80" s="122"/>
      <c r="H80" s="123"/>
      <c r="I80" s="123"/>
      <c r="J80" s="139"/>
    </row>
    <row r="81" spans="3:10" s="121" customFormat="1" hidden="1" x14ac:dyDescent="0.4">
      <c r="C81" s="122"/>
      <c r="D81" s="122"/>
      <c r="E81" s="122"/>
      <c r="F81" s="122"/>
      <c r="G81" s="122"/>
      <c r="H81" s="123"/>
      <c r="I81" s="123"/>
      <c r="J81" s="139"/>
    </row>
    <row r="82" spans="3:10" s="121" customFormat="1" hidden="1" x14ac:dyDescent="0.4">
      <c r="C82" s="122"/>
      <c r="D82" s="122"/>
      <c r="E82" s="122"/>
      <c r="F82" s="122"/>
      <c r="G82" s="122"/>
      <c r="H82" s="123"/>
      <c r="I82" s="123"/>
      <c r="J82" s="139"/>
    </row>
    <row r="83" spans="3:10" s="121" customFormat="1" hidden="1" x14ac:dyDescent="0.4">
      <c r="C83" s="122"/>
      <c r="D83" s="122"/>
      <c r="E83" s="122"/>
      <c r="F83" s="122"/>
      <c r="G83" s="122"/>
      <c r="H83" s="123"/>
      <c r="I83" s="123"/>
      <c r="J83" s="139"/>
    </row>
    <row r="84" spans="3:10" s="121" customFormat="1" hidden="1" x14ac:dyDescent="0.4">
      <c r="C84" s="122"/>
      <c r="D84" s="122"/>
      <c r="E84" s="122"/>
      <c r="F84" s="122"/>
      <c r="G84" s="122"/>
      <c r="H84" s="123"/>
      <c r="I84" s="123"/>
      <c r="J84" s="139"/>
    </row>
    <row r="85" spans="3:10" s="121" customFormat="1" hidden="1" x14ac:dyDescent="0.4">
      <c r="C85" s="122"/>
      <c r="D85" s="122"/>
      <c r="E85" s="122"/>
      <c r="F85" s="122"/>
      <c r="G85" s="122"/>
      <c r="H85" s="123"/>
      <c r="I85" s="123"/>
      <c r="J85" s="139"/>
    </row>
    <row r="86" spans="3:10" s="121" customFormat="1" hidden="1" x14ac:dyDescent="0.4">
      <c r="C86" s="122"/>
      <c r="D86" s="122"/>
      <c r="E86" s="122"/>
      <c r="F86" s="122"/>
      <c r="G86" s="122"/>
      <c r="H86" s="123"/>
      <c r="I86" s="123"/>
      <c r="J86" s="139"/>
    </row>
    <row r="87" spans="3:10" s="121" customFormat="1" hidden="1" x14ac:dyDescent="0.4">
      <c r="C87" s="122"/>
      <c r="D87" s="122"/>
      <c r="E87" s="122"/>
      <c r="F87" s="122"/>
      <c r="G87" s="122"/>
      <c r="H87" s="123"/>
      <c r="I87" s="123"/>
      <c r="J87" s="139"/>
    </row>
    <row r="88" spans="3:10" s="121" customFormat="1" hidden="1" x14ac:dyDescent="0.4">
      <c r="C88" s="122"/>
      <c r="D88" s="122"/>
      <c r="E88" s="122"/>
      <c r="F88" s="122"/>
      <c r="G88" s="122"/>
      <c r="H88" s="123"/>
      <c r="I88" s="123"/>
      <c r="J88" s="139"/>
    </row>
    <row r="89" spans="3:10" s="121" customFormat="1" hidden="1" x14ac:dyDescent="0.4">
      <c r="C89" s="122"/>
      <c r="D89" s="122"/>
      <c r="E89" s="122"/>
      <c r="F89" s="122"/>
      <c r="G89" s="122"/>
      <c r="H89" s="123"/>
      <c r="I89" s="123"/>
      <c r="J89" s="139"/>
    </row>
    <row r="90" spans="3:10" s="121" customFormat="1" hidden="1" x14ac:dyDescent="0.4">
      <c r="C90" s="122"/>
      <c r="D90" s="122"/>
      <c r="E90" s="122"/>
      <c r="F90" s="122"/>
      <c r="G90" s="122"/>
      <c r="H90" s="123"/>
      <c r="I90" s="123"/>
      <c r="J90" s="139"/>
    </row>
    <row r="91" spans="3:10" s="121" customFormat="1" hidden="1" x14ac:dyDescent="0.4">
      <c r="C91" s="122"/>
      <c r="D91" s="122"/>
      <c r="E91" s="122"/>
      <c r="F91" s="122"/>
      <c r="G91" s="122"/>
      <c r="H91" s="123"/>
      <c r="I91" s="123"/>
      <c r="J91" s="139"/>
    </row>
    <row r="92" spans="3:10" s="121" customFormat="1" hidden="1" x14ac:dyDescent="0.4">
      <c r="C92" s="122"/>
      <c r="D92" s="122"/>
      <c r="E92" s="122"/>
      <c r="F92" s="122"/>
      <c r="G92" s="122"/>
      <c r="H92" s="123"/>
      <c r="I92" s="123"/>
      <c r="J92" s="139"/>
    </row>
    <row r="93" spans="3:10" s="121" customFormat="1" hidden="1" x14ac:dyDescent="0.4">
      <c r="C93" s="122"/>
      <c r="D93" s="122"/>
      <c r="E93" s="122"/>
      <c r="F93" s="122"/>
      <c r="G93" s="122"/>
      <c r="H93" s="123"/>
      <c r="I93" s="123"/>
      <c r="J93" s="139"/>
    </row>
    <row r="94" spans="3:10" s="121" customFormat="1" hidden="1" x14ac:dyDescent="0.4">
      <c r="C94" s="122"/>
      <c r="D94" s="122"/>
      <c r="E94" s="122"/>
      <c r="F94" s="122"/>
      <c r="G94" s="122"/>
      <c r="H94" s="123"/>
      <c r="I94" s="123"/>
      <c r="J94" s="139"/>
    </row>
    <row r="95" spans="3:10" s="121" customFormat="1" hidden="1" x14ac:dyDescent="0.4">
      <c r="C95" s="122"/>
      <c r="D95" s="122"/>
      <c r="E95" s="122"/>
      <c r="F95" s="122"/>
      <c r="G95" s="122"/>
      <c r="H95" s="123"/>
      <c r="I95" s="123"/>
      <c r="J95" s="139"/>
    </row>
    <row r="96" spans="3:10" s="121" customFormat="1" x14ac:dyDescent="0.4">
      <c r="C96" s="122"/>
      <c r="D96" s="122"/>
      <c r="E96" s="122"/>
      <c r="F96" s="122"/>
      <c r="G96" s="122"/>
      <c r="H96" s="123"/>
      <c r="I96" s="123"/>
      <c r="J96" s="139"/>
    </row>
    <row r="97" spans="3:10" s="121" customFormat="1" x14ac:dyDescent="0.4">
      <c r="C97" s="122"/>
      <c r="D97" s="122"/>
      <c r="E97" s="122"/>
      <c r="F97" s="122"/>
      <c r="G97" s="122"/>
      <c r="H97" s="123"/>
      <c r="I97" s="123"/>
      <c r="J97" s="139"/>
    </row>
    <row r="98" spans="3:10" s="121" customFormat="1" x14ac:dyDescent="0.4">
      <c r="C98" s="122"/>
      <c r="D98" s="122"/>
      <c r="E98" s="122"/>
      <c r="F98" s="122"/>
      <c r="G98" s="122"/>
      <c r="H98" s="123"/>
      <c r="I98" s="123"/>
      <c r="J98" s="139"/>
    </row>
    <row r="99" spans="3:10" s="121" customFormat="1" x14ac:dyDescent="0.4">
      <c r="C99" s="122"/>
      <c r="D99" s="122"/>
      <c r="E99" s="122"/>
      <c r="F99" s="122"/>
      <c r="G99" s="122"/>
      <c r="H99" s="123"/>
      <c r="I99" s="123"/>
      <c r="J99" s="139"/>
    </row>
    <row r="100" spans="3:10" s="121" customFormat="1" x14ac:dyDescent="0.4">
      <c r="C100" s="122"/>
      <c r="D100" s="122"/>
      <c r="E100" s="122"/>
      <c r="F100" s="122"/>
      <c r="G100" s="122"/>
      <c r="H100" s="123"/>
      <c r="I100" s="123"/>
      <c r="J100" s="139"/>
    </row>
    <row r="101" spans="3:10" s="121" customFormat="1" x14ac:dyDescent="0.4">
      <c r="C101" s="122"/>
      <c r="D101" s="122"/>
      <c r="E101" s="122"/>
      <c r="F101" s="122"/>
      <c r="G101" s="122"/>
      <c r="H101" s="123"/>
      <c r="I101" s="123"/>
      <c r="J101" s="139"/>
    </row>
    <row r="102" spans="3:10" s="121" customFormat="1" x14ac:dyDescent="0.4">
      <c r="C102" s="122"/>
      <c r="D102" s="122"/>
      <c r="E102" s="122"/>
      <c r="F102" s="122"/>
      <c r="G102" s="122"/>
      <c r="H102" s="123"/>
      <c r="I102" s="123"/>
      <c r="J102" s="139"/>
    </row>
    <row r="103" spans="3:10" s="121" customFormat="1" x14ac:dyDescent="0.4">
      <c r="C103" s="122"/>
      <c r="D103" s="122"/>
      <c r="E103" s="122"/>
      <c r="F103" s="122"/>
      <c r="G103" s="122"/>
      <c r="H103" s="123"/>
      <c r="I103" s="123"/>
      <c r="J103" s="139"/>
    </row>
    <row r="104" spans="3:10" s="121" customFormat="1" x14ac:dyDescent="0.4">
      <c r="C104" s="122"/>
      <c r="D104" s="122"/>
      <c r="E104" s="122"/>
      <c r="F104" s="122"/>
      <c r="G104" s="122"/>
      <c r="H104" s="123"/>
      <c r="I104" s="123"/>
      <c r="J104" s="139"/>
    </row>
    <row r="105" spans="3:10" s="121" customFormat="1" x14ac:dyDescent="0.4">
      <c r="C105" s="122"/>
      <c r="D105" s="122"/>
      <c r="E105" s="122"/>
      <c r="F105" s="122"/>
      <c r="G105" s="122"/>
      <c r="H105" s="123"/>
      <c r="I105" s="123"/>
      <c r="J105" s="139"/>
    </row>
    <row r="106" spans="3:10" s="121" customFormat="1" x14ac:dyDescent="0.4">
      <c r="C106" s="122"/>
      <c r="D106" s="122"/>
      <c r="E106" s="122"/>
      <c r="F106" s="122"/>
      <c r="G106" s="122"/>
      <c r="H106" s="123"/>
      <c r="I106" s="123"/>
      <c r="J106" s="139"/>
    </row>
    <row r="107" spans="3:10" s="121" customFormat="1" x14ac:dyDescent="0.4">
      <c r="C107" s="122"/>
      <c r="D107" s="122"/>
      <c r="E107" s="122"/>
      <c r="F107" s="122"/>
      <c r="G107" s="122"/>
      <c r="H107" s="123"/>
      <c r="I107" s="123"/>
      <c r="J107" s="139"/>
    </row>
    <row r="108" spans="3:10" s="121" customFormat="1" x14ac:dyDescent="0.4">
      <c r="C108" s="122"/>
      <c r="D108" s="122"/>
      <c r="E108" s="122"/>
      <c r="F108" s="122"/>
      <c r="G108" s="122"/>
      <c r="H108" s="123"/>
      <c r="I108" s="123"/>
      <c r="J108" s="139"/>
    </row>
    <row r="109" spans="3:10" s="121" customFormat="1" x14ac:dyDescent="0.4">
      <c r="C109" s="122"/>
      <c r="D109" s="122"/>
      <c r="E109" s="122"/>
      <c r="F109" s="122"/>
      <c r="G109" s="122"/>
      <c r="H109" s="123"/>
      <c r="I109" s="123"/>
    </row>
    <row r="110" spans="3:10" s="121" customFormat="1" x14ac:dyDescent="0.4">
      <c r="C110" s="122"/>
      <c r="D110" s="122"/>
      <c r="E110" s="122"/>
      <c r="F110" s="122"/>
      <c r="G110" s="122"/>
      <c r="H110" s="123"/>
      <c r="I110" s="123"/>
    </row>
    <row r="111" spans="3:10" s="121" customFormat="1" x14ac:dyDescent="0.4">
      <c r="C111" s="122"/>
      <c r="D111" s="122"/>
      <c r="E111" s="122"/>
      <c r="F111" s="122"/>
      <c r="G111" s="122"/>
      <c r="H111" s="123"/>
      <c r="I111" s="123"/>
    </row>
    <row r="112" spans="3:10" s="121" customFormat="1" x14ac:dyDescent="0.4">
      <c r="C112" s="122"/>
      <c r="D112" s="122"/>
      <c r="E112" s="122"/>
      <c r="F112" s="122"/>
      <c r="G112" s="122"/>
      <c r="H112" s="123"/>
      <c r="I112" s="123"/>
    </row>
    <row r="113" spans="3:9" s="121" customFormat="1" x14ac:dyDescent="0.4">
      <c r="C113" s="122"/>
      <c r="D113" s="122"/>
      <c r="E113" s="122"/>
      <c r="F113" s="122"/>
      <c r="G113" s="122"/>
      <c r="H113" s="123"/>
      <c r="I113" s="123"/>
    </row>
    <row r="114" spans="3:9" s="121" customFormat="1" x14ac:dyDescent="0.4">
      <c r="C114" s="122"/>
      <c r="D114" s="122"/>
      <c r="E114" s="122"/>
      <c r="F114" s="122"/>
      <c r="G114" s="122"/>
      <c r="H114" s="123"/>
      <c r="I114" s="123"/>
    </row>
    <row r="115" spans="3:9" s="121" customFormat="1" x14ac:dyDescent="0.4">
      <c r="C115" s="122"/>
      <c r="D115" s="122"/>
      <c r="E115" s="122"/>
      <c r="F115" s="122"/>
      <c r="G115" s="122"/>
      <c r="H115" s="123"/>
      <c r="I115" s="123"/>
    </row>
    <row r="116" spans="3:9" s="121" customFormat="1" x14ac:dyDescent="0.4">
      <c r="C116" s="122"/>
      <c r="D116" s="122"/>
      <c r="E116" s="122"/>
      <c r="F116" s="122"/>
      <c r="G116" s="122"/>
      <c r="H116" s="123"/>
      <c r="I116" s="123"/>
    </row>
    <row r="117" spans="3:9" s="121" customFormat="1" x14ac:dyDescent="0.4">
      <c r="C117" s="122"/>
      <c r="D117" s="122"/>
      <c r="E117" s="122"/>
      <c r="F117" s="122"/>
      <c r="G117" s="122"/>
      <c r="H117" s="123"/>
      <c r="I117" s="123"/>
    </row>
    <row r="118" spans="3:9" s="121" customFormat="1" x14ac:dyDescent="0.4">
      <c r="C118" s="122"/>
      <c r="D118" s="122"/>
      <c r="E118" s="122"/>
      <c r="F118" s="122"/>
      <c r="G118" s="122"/>
      <c r="H118" s="123"/>
      <c r="I118" s="123"/>
    </row>
    <row r="119" spans="3:9" s="121" customFormat="1" x14ac:dyDescent="0.4">
      <c r="C119" s="122"/>
      <c r="D119" s="122"/>
      <c r="E119" s="122"/>
      <c r="F119" s="122"/>
      <c r="G119" s="122"/>
      <c r="H119" s="123"/>
      <c r="I119" s="123"/>
    </row>
    <row r="120" spans="3:9" s="121" customFormat="1" x14ac:dyDescent="0.4">
      <c r="C120" s="122"/>
      <c r="D120" s="122"/>
      <c r="E120" s="122"/>
      <c r="F120" s="122"/>
      <c r="G120" s="122"/>
      <c r="H120" s="123"/>
      <c r="I120" s="123"/>
    </row>
    <row r="121" spans="3:9" s="121" customFormat="1" x14ac:dyDescent="0.4">
      <c r="C121" s="122"/>
      <c r="D121" s="122"/>
      <c r="E121" s="122"/>
      <c r="F121" s="122"/>
      <c r="G121" s="122"/>
      <c r="H121" s="123"/>
      <c r="I121" s="123"/>
    </row>
    <row r="122" spans="3:9" s="121" customFormat="1" x14ac:dyDescent="0.4">
      <c r="C122" s="122"/>
      <c r="D122" s="122"/>
      <c r="E122" s="122"/>
      <c r="F122" s="122"/>
      <c r="G122" s="122"/>
      <c r="H122" s="123"/>
      <c r="I122" s="123"/>
    </row>
    <row r="123" spans="3:9" s="121" customFormat="1" x14ac:dyDescent="0.4">
      <c r="C123" s="122"/>
      <c r="D123" s="122"/>
      <c r="E123" s="122"/>
      <c r="F123" s="122"/>
      <c r="G123" s="122"/>
      <c r="H123" s="123"/>
      <c r="I123" s="123"/>
    </row>
    <row r="124" spans="3:9" s="121" customFormat="1" x14ac:dyDescent="0.4">
      <c r="C124" s="122"/>
      <c r="D124" s="122"/>
      <c r="E124" s="122"/>
      <c r="F124" s="122"/>
      <c r="G124" s="122"/>
      <c r="H124" s="123"/>
      <c r="I124" s="123"/>
    </row>
    <row r="125" spans="3:9" s="121" customFormat="1" x14ac:dyDescent="0.4">
      <c r="C125" s="122"/>
      <c r="D125" s="122"/>
      <c r="E125" s="122"/>
      <c r="F125" s="122"/>
      <c r="G125" s="122"/>
      <c r="H125" s="123"/>
      <c r="I125" s="123"/>
    </row>
    <row r="126" spans="3:9" s="121" customFormat="1" x14ac:dyDescent="0.4">
      <c r="C126" s="122"/>
      <c r="D126" s="122"/>
      <c r="E126" s="122"/>
      <c r="F126" s="122"/>
      <c r="G126" s="122"/>
      <c r="H126" s="123"/>
      <c r="I126" s="123"/>
    </row>
    <row r="127" spans="3:9" s="121" customFormat="1" x14ac:dyDescent="0.4">
      <c r="C127" s="122"/>
      <c r="D127" s="122"/>
      <c r="E127" s="122"/>
      <c r="F127" s="122"/>
      <c r="G127" s="122"/>
      <c r="H127" s="123"/>
      <c r="I127" s="123"/>
    </row>
    <row r="128" spans="3:9" s="121" customFormat="1" x14ac:dyDescent="0.4">
      <c r="C128" s="122"/>
      <c r="D128" s="122"/>
      <c r="E128" s="122"/>
      <c r="F128" s="122"/>
      <c r="G128" s="122"/>
      <c r="H128" s="123"/>
      <c r="I128" s="123"/>
    </row>
    <row r="129" spans="2:10" s="121" customFormat="1" x14ac:dyDescent="0.4">
      <c r="C129" s="122"/>
      <c r="D129" s="122"/>
      <c r="E129" s="122"/>
      <c r="F129" s="122"/>
      <c r="G129" s="122"/>
      <c r="H129" s="123"/>
      <c r="I129" s="123"/>
    </row>
    <row r="130" spans="2:10" s="121" customFormat="1" x14ac:dyDescent="0.4">
      <c r="C130" s="122"/>
      <c r="D130" s="122"/>
      <c r="E130" s="122"/>
      <c r="F130" s="122"/>
      <c r="G130" s="122"/>
      <c r="H130" s="123"/>
      <c r="I130" s="123"/>
    </row>
    <row r="131" spans="2:10" s="121" customFormat="1" x14ac:dyDescent="0.4">
      <c r="C131" s="122"/>
      <c r="D131" s="122"/>
      <c r="E131" s="122"/>
      <c r="F131" s="122"/>
      <c r="G131" s="122"/>
      <c r="H131" s="123"/>
      <c r="I131" s="123"/>
    </row>
    <row r="132" spans="2:10" s="121" customFormat="1" x14ac:dyDescent="0.4">
      <c r="C132" s="122"/>
      <c r="D132" s="122"/>
      <c r="E132" s="122"/>
      <c r="F132" s="122"/>
      <c r="G132" s="122"/>
      <c r="H132" s="123"/>
      <c r="I132" s="123"/>
    </row>
    <row r="133" spans="2:10" s="121" customFormat="1" x14ac:dyDescent="0.4">
      <c r="C133" s="122"/>
      <c r="D133" s="122"/>
      <c r="E133" s="122"/>
      <c r="F133" s="122"/>
      <c r="G133" s="122"/>
      <c r="H133" s="123"/>
      <c r="I133" s="123"/>
    </row>
    <row r="134" spans="2:10" x14ac:dyDescent="0.4">
      <c r="B134" s="126"/>
      <c r="C134" s="140"/>
      <c r="D134" s="140"/>
      <c r="E134" s="140"/>
      <c r="F134" s="140"/>
      <c r="G134" s="140"/>
      <c r="H134" s="141"/>
      <c r="I134" s="141"/>
      <c r="J134" s="126"/>
    </row>
    <row r="135" spans="2:10" x14ac:dyDescent="0.4">
      <c r="B135" s="126"/>
      <c r="C135" s="140"/>
      <c r="D135" s="140"/>
      <c r="E135" s="140"/>
      <c r="F135" s="140"/>
      <c r="G135" s="140"/>
      <c r="H135" s="141"/>
      <c r="I135" s="141"/>
      <c r="J135" s="126"/>
    </row>
  </sheetData>
  <dataValidations count="1">
    <dataValidation type="list" allowBlank="1" showInputMessage="1" showErrorMessage="1" sqref="E13" xr:uid="{F1BEE2A8-C757-49C4-8FE5-BB986A35F02E}">
      <formula1>$E$16:$F$16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EAC5-9BD6-4B61-838D-68F2A1E6AFE3}">
  <dimension ref="A1:BG385"/>
  <sheetViews>
    <sheetView showGridLines="0" zoomScale="78" zoomScaleNormal="78" workbookViewId="0">
      <selection activeCell="C19" sqref="C19"/>
    </sheetView>
  </sheetViews>
  <sheetFormatPr defaultColWidth="8.84375" defaultRowHeight="14.6" x14ac:dyDescent="0.35"/>
  <cols>
    <col min="1" max="1" width="4.3828125" style="117" customWidth="1"/>
    <col min="2" max="2" width="5.53515625" style="32" customWidth="1"/>
    <col min="3" max="3" width="18.69140625" style="56" customWidth="1"/>
    <col min="4" max="5" width="12.3828125" style="56" customWidth="1"/>
    <col min="6" max="14" width="11.69140625" style="32" customWidth="1"/>
    <col min="15" max="15" width="11.3046875" style="32" customWidth="1"/>
    <col min="16" max="18" width="10.3046875" style="32" customWidth="1"/>
    <col min="19" max="19" width="10.3046875" style="117" customWidth="1"/>
    <col min="20" max="33" width="8.84375" style="117" customWidth="1"/>
    <col min="34" max="59" width="8.84375" style="117"/>
    <col min="60" max="16384" width="8.84375" style="32"/>
  </cols>
  <sheetData>
    <row r="1" spans="2:18" s="117" customFormat="1" x14ac:dyDescent="0.35">
      <c r="C1" s="118"/>
      <c r="D1" s="118"/>
      <c r="E1" s="118"/>
    </row>
    <row r="2" spans="2:18" x14ac:dyDescent="0.35">
      <c r="B2" s="11"/>
      <c r="C2" s="8"/>
      <c r="D2" s="8"/>
      <c r="E2" s="3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18" ht="14.15" customHeight="1" x14ac:dyDescent="0.35">
      <c r="B3" s="8"/>
      <c r="C3" s="95" t="s">
        <v>65</v>
      </c>
      <c r="D3" s="95"/>
      <c r="E3" s="95"/>
      <c r="F3" s="95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18" x14ac:dyDescent="0.35">
      <c r="B4" s="8"/>
      <c r="C4" s="33"/>
      <c r="D4" s="31"/>
      <c r="E4" s="34"/>
      <c r="F4" s="35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2:18" ht="17.600000000000001" thickBot="1" x14ac:dyDescent="0.4">
      <c r="B5" s="8"/>
      <c r="C5" s="285" t="s">
        <v>135</v>
      </c>
      <c r="D5" s="286"/>
      <c r="E5" s="287"/>
      <c r="F5" s="287"/>
      <c r="G5" s="37"/>
      <c r="H5" s="37"/>
      <c r="I5" s="37"/>
      <c r="J5" s="37"/>
      <c r="K5" s="37"/>
      <c r="L5" s="37"/>
      <c r="M5" s="37"/>
      <c r="N5" s="37"/>
      <c r="O5" s="37"/>
      <c r="P5" s="37"/>
      <c r="Q5" s="11"/>
      <c r="R5" s="11"/>
    </row>
    <row r="6" spans="2:18" x14ac:dyDescent="0.35">
      <c r="B6" s="8"/>
      <c r="C6" s="228"/>
      <c r="D6" s="288"/>
      <c r="E6" s="289"/>
      <c r="F6" s="29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2:18" x14ac:dyDescent="0.35">
      <c r="B7" s="8"/>
      <c r="C7" s="291"/>
      <c r="D7" s="291"/>
      <c r="E7" s="292"/>
      <c r="F7" s="293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2:18" x14ac:dyDescent="0.35">
      <c r="B8" s="8"/>
      <c r="C8" s="294" t="s">
        <v>127</v>
      </c>
      <c r="D8" s="294"/>
      <c r="E8" s="294"/>
      <c r="F8" s="294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2:18" x14ac:dyDescent="0.35">
      <c r="B9" s="8"/>
      <c r="C9" s="30"/>
      <c r="D9" s="30"/>
      <c r="E9" s="30"/>
      <c r="F9" s="3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2:18" x14ac:dyDescent="0.35">
      <c r="B10" s="41" t="s">
        <v>128</v>
      </c>
      <c r="C10" s="42" t="s">
        <v>81</v>
      </c>
      <c r="D10" s="43"/>
      <c r="E10" s="107">
        <v>1700</v>
      </c>
      <c r="F10" s="4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2:18" ht="27" customHeight="1" x14ac:dyDescent="0.35">
      <c r="B11" s="8"/>
      <c r="C11" s="144" t="s">
        <v>79</v>
      </c>
      <c r="D11" s="145"/>
      <c r="E11" s="108">
        <v>850</v>
      </c>
      <c r="F11" s="4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2:18" x14ac:dyDescent="0.35">
      <c r="B12" s="8"/>
      <c r="C12" s="44"/>
      <c r="D12" s="40"/>
      <c r="E12" s="109"/>
      <c r="F12" s="4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2:18" x14ac:dyDescent="0.35">
      <c r="B13" s="41" t="s">
        <v>129</v>
      </c>
      <c r="C13" s="42" t="s">
        <v>131</v>
      </c>
      <c r="D13" s="43"/>
      <c r="E13" s="107">
        <v>1600</v>
      </c>
      <c r="F13" s="4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2:18" x14ac:dyDescent="0.35">
      <c r="B14" s="8"/>
      <c r="C14" s="144" t="s">
        <v>79</v>
      </c>
      <c r="D14" s="145"/>
      <c r="E14" s="108">
        <v>1250</v>
      </c>
      <c r="F14" s="4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2:18" x14ac:dyDescent="0.35">
      <c r="B15" s="8"/>
      <c r="C15" s="44"/>
      <c r="D15" s="40"/>
      <c r="E15" s="109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2:18" x14ac:dyDescent="0.35">
      <c r="B16" s="41" t="s">
        <v>130</v>
      </c>
      <c r="C16" s="42" t="s">
        <v>82</v>
      </c>
      <c r="D16" s="43"/>
      <c r="E16" s="107">
        <v>2500</v>
      </c>
      <c r="F16" s="4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59" ht="27.65" customHeight="1" x14ac:dyDescent="0.35">
      <c r="B17" s="8"/>
      <c r="C17" s="144" t="s">
        <v>80</v>
      </c>
      <c r="D17" s="145"/>
      <c r="E17" s="108">
        <v>2400</v>
      </c>
      <c r="F17" s="4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59" x14ac:dyDescent="0.35">
      <c r="B18" s="8"/>
      <c r="C18" s="44"/>
      <c r="D18" s="11"/>
      <c r="E18" s="40"/>
      <c r="F18" s="4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59" x14ac:dyDescent="0.35">
      <c r="B19" s="11"/>
      <c r="C19" s="294" t="s">
        <v>147</v>
      </c>
      <c r="D19" s="295"/>
      <c r="E19" s="295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59" ht="9.65" customHeight="1" x14ac:dyDescent="0.35">
      <c r="B20" s="11"/>
      <c r="C20" s="45">
        <v>1</v>
      </c>
      <c r="D20" s="45">
        <v>2</v>
      </c>
      <c r="E20" s="45">
        <v>3</v>
      </c>
      <c r="F20" s="45">
        <v>4</v>
      </c>
      <c r="G20" s="45">
        <v>5</v>
      </c>
      <c r="H20" s="45">
        <v>6</v>
      </c>
      <c r="I20" s="45">
        <v>7</v>
      </c>
      <c r="J20" s="45">
        <v>8</v>
      </c>
      <c r="K20" s="45">
        <v>9</v>
      </c>
      <c r="L20" s="45">
        <v>10</v>
      </c>
      <c r="M20" s="45">
        <v>11</v>
      </c>
      <c r="N20" s="45">
        <v>12</v>
      </c>
      <c r="O20" s="11"/>
      <c r="P20" s="11"/>
      <c r="Q20" s="11"/>
      <c r="R20" s="11"/>
    </row>
    <row r="21" spans="1:59" x14ac:dyDescent="0.35">
      <c r="B21" s="46"/>
      <c r="C21" s="47">
        <v>45658</v>
      </c>
      <c r="D21" s="48">
        <f>C21+31</f>
        <v>45689</v>
      </c>
      <c r="E21" s="48">
        <f t="shared" ref="E21:N21" si="0">D21+31</f>
        <v>45720</v>
      </c>
      <c r="F21" s="48">
        <f t="shared" si="0"/>
        <v>45751</v>
      </c>
      <c r="G21" s="48">
        <f t="shared" si="0"/>
        <v>45782</v>
      </c>
      <c r="H21" s="48">
        <f t="shared" si="0"/>
        <v>45813</v>
      </c>
      <c r="I21" s="48">
        <f t="shared" si="0"/>
        <v>45844</v>
      </c>
      <c r="J21" s="48">
        <f t="shared" si="0"/>
        <v>45875</v>
      </c>
      <c r="K21" s="48">
        <f t="shared" si="0"/>
        <v>45906</v>
      </c>
      <c r="L21" s="48">
        <f t="shared" si="0"/>
        <v>45937</v>
      </c>
      <c r="M21" s="48">
        <f t="shared" si="0"/>
        <v>45968</v>
      </c>
      <c r="N21" s="49">
        <f t="shared" si="0"/>
        <v>45999</v>
      </c>
      <c r="O21" s="31"/>
      <c r="P21" s="11"/>
      <c r="Q21" s="11"/>
      <c r="R21" s="11"/>
    </row>
    <row r="22" spans="1:59" s="52" customFormat="1" x14ac:dyDescent="0.35">
      <c r="A22" s="117"/>
      <c r="B22" s="46"/>
      <c r="C22" s="110">
        <v>0.9</v>
      </c>
      <c r="D22" s="111">
        <v>1</v>
      </c>
      <c r="E22" s="111">
        <v>1</v>
      </c>
      <c r="F22" s="111">
        <v>1.1000000000000001</v>
      </c>
      <c r="G22" s="111">
        <v>1</v>
      </c>
      <c r="H22" s="111">
        <v>0.9</v>
      </c>
      <c r="I22" s="111">
        <v>0.9</v>
      </c>
      <c r="J22" s="111">
        <v>0.9</v>
      </c>
      <c r="K22" s="111">
        <v>1.1000000000000001</v>
      </c>
      <c r="L22" s="111">
        <v>1.1000000000000001</v>
      </c>
      <c r="M22" s="111">
        <v>1</v>
      </c>
      <c r="N22" s="112">
        <v>1.1000000000000001</v>
      </c>
      <c r="O22" s="50">
        <f>SUM(C22:N22)</f>
        <v>12</v>
      </c>
      <c r="P22" s="11"/>
      <c r="Q22" s="51"/>
      <c r="R22" s="51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</row>
    <row r="23" spans="1:59" s="52" customFormat="1" ht="17.149999999999999" customHeight="1" x14ac:dyDescent="0.25">
      <c r="A23" s="119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</row>
    <row r="24" spans="1:59" ht="20.5" customHeight="1" x14ac:dyDescent="0.35">
      <c r="B24" s="11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  <c r="P24" s="54"/>
      <c r="Q24" s="11"/>
      <c r="R24" s="11"/>
    </row>
    <row r="25" spans="1:59" ht="20.5" customHeight="1" x14ac:dyDescent="0.35">
      <c r="B25" s="11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1"/>
      <c r="P25" s="11"/>
      <c r="Q25" s="11"/>
      <c r="R25" s="11"/>
    </row>
    <row r="26" spans="1:59" s="117" customFormat="1" x14ac:dyDescent="0.35">
      <c r="C26" s="118"/>
      <c r="D26" s="118"/>
      <c r="E26" s="118"/>
    </row>
    <row r="27" spans="1:59" s="117" customFormat="1" x14ac:dyDescent="0.35">
      <c r="C27" s="118"/>
      <c r="D27" s="118"/>
      <c r="E27" s="118"/>
    </row>
    <row r="28" spans="1:59" s="117" customFormat="1" x14ac:dyDescent="0.35">
      <c r="C28" s="118"/>
      <c r="D28" s="118"/>
      <c r="E28" s="118"/>
    </row>
    <row r="29" spans="1:59" s="117" customFormat="1" x14ac:dyDescent="0.35">
      <c r="C29" s="118"/>
      <c r="D29" s="118"/>
      <c r="E29" s="118"/>
    </row>
    <row r="30" spans="1:59" s="117" customFormat="1" x14ac:dyDescent="0.35">
      <c r="C30" s="118"/>
      <c r="D30" s="118"/>
      <c r="E30" s="118"/>
    </row>
    <row r="31" spans="1:59" s="117" customFormat="1" x14ac:dyDescent="0.35">
      <c r="C31" s="118"/>
      <c r="D31" s="118"/>
      <c r="E31" s="118"/>
    </row>
    <row r="32" spans="1:59" s="117" customFormat="1" x14ac:dyDescent="0.35">
      <c r="C32" s="118"/>
      <c r="D32" s="118"/>
      <c r="E32" s="118"/>
    </row>
    <row r="33" spans="3:5" s="117" customFormat="1" x14ac:dyDescent="0.35">
      <c r="C33" s="118"/>
      <c r="D33" s="118"/>
      <c r="E33" s="118"/>
    </row>
    <row r="34" spans="3:5" s="117" customFormat="1" x14ac:dyDescent="0.35">
      <c r="C34" s="118"/>
      <c r="D34" s="118"/>
      <c r="E34" s="118"/>
    </row>
    <row r="35" spans="3:5" s="117" customFormat="1" x14ac:dyDescent="0.35">
      <c r="C35" s="118"/>
      <c r="D35" s="118"/>
      <c r="E35" s="118"/>
    </row>
    <row r="36" spans="3:5" s="117" customFormat="1" x14ac:dyDescent="0.35">
      <c r="C36" s="118"/>
      <c r="D36" s="118"/>
      <c r="E36" s="118"/>
    </row>
    <row r="37" spans="3:5" s="117" customFormat="1" x14ac:dyDescent="0.35">
      <c r="C37" s="118"/>
      <c r="D37" s="118"/>
      <c r="E37" s="118"/>
    </row>
    <row r="38" spans="3:5" s="117" customFormat="1" x14ac:dyDescent="0.35">
      <c r="C38" s="118"/>
      <c r="D38" s="118"/>
      <c r="E38" s="118"/>
    </row>
    <row r="39" spans="3:5" s="117" customFormat="1" x14ac:dyDescent="0.35">
      <c r="C39" s="118"/>
      <c r="D39" s="118"/>
      <c r="E39" s="118"/>
    </row>
    <row r="40" spans="3:5" s="117" customFormat="1" x14ac:dyDescent="0.35">
      <c r="C40" s="118"/>
      <c r="D40" s="118"/>
      <c r="E40" s="118"/>
    </row>
    <row r="41" spans="3:5" s="117" customFormat="1" x14ac:dyDescent="0.35">
      <c r="C41" s="118"/>
      <c r="D41" s="118"/>
      <c r="E41" s="118"/>
    </row>
    <row r="42" spans="3:5" s="117" customFormat="1" x14ac:dyDescent="0.35">
      <c r="C42" s="118"/>
      <c r="D42" s="118"/>
      <c r="E42" s="118"/>
    </row>
    <row r="43" spans="3:5" s="117" customFormat="1" x14ac:dyDescent="0.35">
      <c r="C43" s="118"/>
      <c r="D43" s="118"/>
      <c r="E43" s="118"/>
    </row>
    <row r="44" spans="3:5" s="117" customFormat="1" x14ac:dyDescent="0.35">
      <c r="C44" s="118"/>
      <c r="D44" s="118"/>
      <c r="E44" s="118"/>
    </row>
    <row r="45" spans="3:5" s="117" customFormat="1" x14ac:dyDescent="0.35">
      <c r="C45" s="118"/>
      <c r="D45" s="118"/>
      <c r="E45" s="118"/>
    </row>
    <row r="46" spans="3:5" s="117" customFormat="1" x14ac:dyDescent="0.35">
      <c r="C46" s="118"/>
      <c r="D46" s="118"/>
      <c r="E46" s="118"/>
    </row>
    <row r="47" spans="3:5" s="117" customFormat="1" x14ac:dyDescent="0.35">
      <c r="C47" s="118"/>
      <c r="D47" s="118"/>
      <c r="E47" s="118"/>
    </row>
    <row r="48" spans="3:5" s="117" customFormat="1" x14ac:dyDescent="0.35">
      <c r="C48" s="118"/>
      <c r="D48" s="118"/>
      <c r="E48" s="118"/>
    </row>
    <row r="49" spans="3:5" s="117" customFormat="1" x14ac:dyDescent="0.35">
      <c r="C49" s="118"/>
      <c r="D49" s="118"/>
      <c r="E49" s="118"/>
    </row>
    <row r="50" spans="3:5" s="117" customFormat="1" x14ac:dyDescent="0.35">
      <c r="C50" s="118"/>
      <c r="D50" s="118"/>
      <c r="E50" s="118"/>
    </row>
    <row r="51" spans="3:5" s="117" customFormat="1" x14ac:dyDescent="0.35">
      <c r="C51" s="118"/>
      <c r="D51" s="118"/>
      <c r="E51" s="118"/>
    </row>
    <row r="52" spans="3:5" s="117" customFormat="1" x14ac:dyDescent="0.35">
      <c r="C52" s="118"/>
      <c r="D52" s="118"/>
      <c r="E52" s="118"/>
    </row>
    <row r="53" spans="3:5" s="117" customFormat="1" x14ac:dyDescent="0.35">
      <c r="C53" s="118"/>
      <c r="D53" s="118"/>
      <c r="E53" s="118"/>
    </row>
    <row r="54" spans="3:5" s="117" customFormat="1" x14ac:dyDescent="0.35">
      <c r="C54" s="118"/>
      <c r="D54" s="118"/>
      <c r="E54" s="118"/>
    </row>
    <row r="55" spans="3:5" s="117" customFormat="1" x14ac:dyDescent="0.35">
      <c r="C55" s="118"/>
      <c r="D55" s="118"/>
      <c r="E55" s="118"/>
    </row>
    <row r="56" spans="3:5" s="117" customFormat="1" x14ac:dyDescent="0.35">
      <c r="C56" s="118"/>
      <c r="D56" s="118"/>
      <c r="E56" s="118"/>
    </row>
    <row r="57" spans="3:5" s="117" customFormat="1" x14ac:dyDescent="0.35">
      <c r="C57" s="118"/>
      <c r="D57" s="118"/>
      <c r="E57" s="118"/>
    </row>
    <row r="58" spans="3:5" s="117" customFormat="1" x14ac:dyDescent="0.35">
      <c r="C58" s="118"/>
      <c r="D58" s="118"/>
      <c r="E58" s="118"/>
    </row>
    <row r="59" spans="3:5" s="117" customFormat="1" x14ac:dyDescent="0.35">
      <c r="C59" s="118"/>
      <c r="D59" s="118"/>
      <c r="E59" s="118"/>
    </row>
    <row r="60" spans="3:5" s="117" customFormat="1" x14ac:dyDescent="0.35">
      <c r="C60" s="118"/>
      <c r="D60" s="118"/>
      <c r="E60" s="118"/>
    </row>
    <row r="61" spans="3:5" s="117" customFormat="1" x14ac:dyDescent="0.35">
      <c r="C61" s="118"/>
      <c r="D61" s="118"/>
      <c r="E61" s="118"/>
    </row>
    <row r="62" spans="3:5" s="117" customFormat="1" x14ac:dyDescent="0.35">
      <c r="C62" s="118"/>
      <c r="D62" s="118"/>
      <c r="E62" s="118"/>
    </row>
    <row r="63" spans="3:5" s="117" customFormat="1" x14ac:dyDescent="0.35">
      <c r="C63" s="118"/>
      <c r="D63" s="118"/>
      <c r="E63" s="118"/>
    </row>
    <row r="64" spans="3:5" s="117" customFormat="1" x14ac:dyDescent="0.35">
      <c r="C64" s="118"/>
      <c r="D64" s="118"/>
      <c r="E64" s="118"/>
    </row>
    <row r="65" spans="3:5" s="117" customFormat="1" x14ac:dyDescent="0.35">
      <c r="C65" s="118"/>
      <c r="D65" s="118"/>
      <c r="E65" s="118"/>
    </row>
    <row r="66" spans="3:5" s="117" customFormat="1" x14ac:dyDescent="0.35">
      <c r="C66" s="118"/>
      <c r="D66" s="118"/>
      <c r="E66" s="118"/>
    </row>
    <row r="67" spans="3:5" s="117" customFormat="1" x14ac:dyDescent="0.35">
      <c r="C67" s="118"/>
      <c r="D67" s="118"/>
      <c r="E67" s="118"/>
    </row>
    <row r="68" spans="3:5" s="117" customFormat="1" x14ac:dyDescent="0.35">
      <c r="C68" s="118"/>
      <c r="D68" s="118"/>
      <c r="E68" s="118"/>
    </row>
    <row r="69" spans="3:5" s="117" customFormat="1" x14ac:dyDescent="0.35">
      <c r="C69" s="118"/>
      <c r="D69" s="118"/>
      <c r="E69" s="118"/>
    </row>
    <row r="70" spans="3:5" s="117" customFormat="1" x14ac:dyDescent="0.35">
      <c r="C70" s="118"/>
      <c r="D70" s="118"/>
      <c r="E70" s="118"/>
    </row>
    <row r="71" spans="3:5" s="117" customFormat="1" x14ac:dyDescent="0.35">
      <c r="C71" s="118"/>
      <c r="D71" s="118"/>
      <c r="E71" s="118"/>
    </row>
    <row r="72" spans="3:5" s="117" customFormat="1" x14ac:dyDescent="0.35">
      <c r="C72" s="118"/>
      <c r="D72" s="118"/>
      <c r="E72" s="118"/>
    </row>
    <row r="73" spans="3:5" s="117" customFormat="1" x14ac:dyDescent="0.35">
      <c r="C73" s="118"/>
      <c r="D73" s="118"/>
      <c r="E73" s="118"/>
    </row>
    <row r="74" spans="3:5" s="117" customFormat="1" x14ac:dyDescent="0.35">
      <c r="C74" s="118"/>
      <c r="D74" s="118"/>
      <c r="E74" s="118"/>
    </row>
    <row r="75" spans="3:5" s="117" customFormat="1" x14ac:dyDescent="0.35">
      <c r="C75" s="118"/>
      <c r="D75" s="118"/>
      <c r="E75" s="118"/>
    </row>
    <row r="76" spans="3:5" s="117" customFormat="1" x14ac:dyDescent="0.35">
      <c r="C76" s="118"/>
      <c r="D76" s="118"/>
      <c r="E76" s="118"/>
    </row>
    <row r="77" spans="3:5" s="117" customFormat="1" x14ac:dyDescent="0.35">
      <c r="C77" s="118"/>
      <c r="D77" s="118"/>
      <c r="E77" s="118"/>
    </row>
    <row r="78" spans="3:5" s="117" customFormat="1" x14ac:dyDescent="0.35">
      <c r="C78" s="118"/>
      <c r="D78" s="118"/>
      <c r="E78" s="118"/>
    </row>
    <row r="79" spans="3:5" s="117" customFormat="1" x14ac:dyDescent="0.35">
      <c r="C79" s="118"/>
      <c r="D79" s="118"/>
      <c r="E79" s="118"/>
    </row>
    <row r="80" spans="3:5" s="117" customFormat="1" x14ac:dyDescent="0.35">
      <c r="C80" s="118"/>
      <c r="D80" s="118"/>
      <c r="E80" s="118"/>
    </row>
    <row r="81" spans="3:5" s="117" customFormat="1" x14ac:dyDescent="0.35">
      <c r="C81" s="118"/>
      <c r="D81" s="118"/>
      <c r="E81" s="118"/>
    </row>
    <row r="82" spans="3:5" s="117" customFormat="1" x14ac:dyDescent="0.35">
      <c r="C82" s="118"/>
      <c r="D82" s="118"/>
      <c r="E82" s="118"/>
    </row>
    <row r="83" spans="3:5" s="117" customFormat="1" x14ac:dyDescent="0.35">
      <c r="C83" s="118"/>
      <c r="D83" s="118"/>
      <c r="E83" s="118"/>
    </row>
    <row r="84" spans="3:5" s="117" customFormat="1" x14ac:dyDescent="0.35">
      <c r="C84" s="118"/>
      <c r="D84" s="118"/>
      <c r="E84" s="118"/>
    </row>
    <row r="85" spans="3:5" s="117" customFormat="1" x14ac:dyDescent="0.35">
      <c r="C85" s="118"/>
      <c r="D85" s="118"/>
      <c r="E85" s="118"/>
    </row>
    <row r="86" spans="3:5" s="117" customFormat="1" x14ac:dyDescent="0.35">
      <c r="C86" s="118"/>
      <c r="D86" s="118"/>
      <c r="E86" s="118"/>
    </row>
    <row r="87" spans="3:5" s="117" customFormat="1" x14ac:dyDescent="0.35">
      <c r="C87" s="118"/>
      <c r="D87" s="118"/>
      <c r="E87" s="118"/>
    </row>
    <row r="88" spans="3:5" s="117" customFormat="1" x14ac:dyDescent="0.35">
      <c r="C88" s="118"/>
      <c r="D88" s="118"/>
      <c r="E88" s="118"/>
    </row>
    <row r="89" spans="3:5" s="117" customFormat="1" x14ac:dyDescent="0.35">
      <c r="C89" s="118"/>
      <c r="D89" s="118"/>
      <c r="E89" s="118"/>
    </row>
    <row r="90" spans="3:5" s="117" customFormat="1" x14ac:dyDescent="0.35">
      <c r="C90" s="118"/>
      <c r="D90" s="118"/>
      <c r="E90" s="118"/>
    </row>
    <row r="91" spans="3:5" s="117" customFormat="1" x14ac:dyDescent="0.35">
      <c r="C91" s="118"/>
      <c r="D91" s="118"/>
      <c r="E91" s="118"/>
    </row>
    <row r="92" spans="3:5" s="117" customFormat="1" x14ac:dyDescent="0.35">
      <c r="C92" s="118"/>
      <c r="D92" s="118"/>
      <c r="E92" s="118"/>
    </row>
    <row r="93" spans="3:5" s="117" customFormat="1" x14ac:dyDescent="0.35">
      <c r="C93" s="118"/>
      <c r="D93" s="118"/>
      <c r="E93" s="118"/>
    </row>
    <row r="94" spans="3:5" s="117" customFormat="1" x14ac:dyDescent="0.35">
      <c r="C94" s="118"/>
      <c r="D94" s="118"/>
      <c r="E94" s="118"/>
    </row>
    <row r="95" spans="3:5" s="117" customFormat="1" x14ac:dyDescent="0.35">
      <c r="C95" s="118"/>
      <c r="D95" s="118"/>
      <c r="E95" s="118"/>
    </row>
    <row r="96" spans="3:5" s="117" customFormat="1" x14ac:dyDescent="0.35">
      <c r="C96" s="118"/>
      <c r="D96" s="118"/>
      <c r="E96" s="118"/>
    </row>
    <row r="97" spans="3:5" s="117" customFormat="1" x14ac:dyDescent="0.35">
      <c r="C97" s="118"/>
      <c r="D97" s="118"/>
      <c r="E97" s="118"/>
    </row>
    <row r="98" spans="3:5" s="117" customFormat="1" x14ac:dyDescent="0.35">
      <c r="C98" s="118"/>
      <c r="D98" s="118"/>
      <c r="E98" s="118"/>
    </row>
    <row r="99" spans="3:5" s="117" customFormat="1" x14ac:dyDescent="0.35">
      <c r="C99" s="118"/>
      <c r="D99" s="118"/>
      <c r="E99" s="118"/>
    </row>
    <row r="100" spans="3:5" s="117" customFormat="1" x14ac:dyDescent="0.35">
      <c r="C100" s="118"/>
      <c r="D100" s="118"/>
      <c r="E100" s="118"/>
    </row>
    <row r="101" spans="3:5" s="117" customFormat="1" x14ac:dyDescent="0.35">
      <c r="C101" s="118"/>
      <c r="D101" s="118"/>
      <c r="E101" s="118"/>
    </row>
    <row r="102" spans="3:5" s="117" customFormat="1" x14ac:dyDescent="0.35">
      <c r="C102" s="118"/>
      <c r="D102" s="118"/>
      <c r="E102" s="118"/>
    </row>
    <row r="103" spans="3:5" s="117" customFormat="1" x14ac:dyDescent="0.35">
      <c r="C103" s="118"/>
      <c r="D103" s="118"/>
      <c r="E103" s="118"/>
    </row>
    <row r="104" spans="3:5" s="117" customFormat="1" x14ac:dyDescent="0.35">
      <c r="C104" s="118"/>
      <c r="D104" s="118"/>
      <c r="E104" s="118"/>
    </row>
    <row r="105" spans="3:5" s="117" customFormat="1" x14ac:dyDescent="0.35">
      <c r="C105" s="118"/>
      <c r="D105" s="118"/>
      <c r="E105" s="118"/>
    </row>
    <row r="106" spans="3:5" s="117" customFormat="1" x14ac:dyDescent="0.35">
      <c r="C106" s="118"/>
      <c r="D106" s="118"/>
      <c r="E106" s="118"/>
    </row>
    <row r="107" spans="3:5" s="117" customFormat="1" x14ac:dyDescent="0.35">
      <c r="C107" s="118"/>
      <c r="D107" s="118"/>
      <c r="E107" s="118"/>
    </row>
    <row r="108" spans="3:5" s="117" customFormat="1" x14ac:dyDescent="0.35">
      <c r="C108" s="118"/>
      <c r="D108" s="118"/>
      <c r="E108" s="118"/>
    </row>
    <row r="109" spans="3:5" s="117" customFormat="1" x14ac:dyDescent="0.35">
      <c r="C109" s="118"/>
      <c r="D109" s="118"/>
      <c r="E109" s="118"/>
    </row>
    <row r="110" spans="3:5" s="117" customFormat="1" x14ac:dyDescent="0.35">
      <c r="C110" s="118"/>
      <c r="D110" s="118"/>
      <c r="E110" s="118"/>
    </row>
    <row r="111" spans="3:5" s="117" customFormat="1" x14ac:dyDescent="0.35">
      <c r="C111" s="118"/>
      <c r="D111" s="118"/>
      <c r="E111" s="118"/>
    </row>
    <row r="112" spans="3:5" s="117" customFormat="1" x14ac:dyDescent="0.35">
      <c r="C112" s="118"/>
      <c r="D112" s="118"/>
      <c r="E112" s="118"/>
    </row>
    <row r="113" spans="3:5" s="117" customFormat="1" x14ac:dyDescent="0.35">
      <c r="C113" s="118"/>
      <c r="D113" s="118"/>
      <c r="E113" s="118"/>
    </row>
    <row r="114" spans="3:5" s="117" customFormat="1" x14ac:dyDescent="0.35">
      <c r="C114" s="118"/>
      <c r="D114" s="118"/>
      <c r="E114" s="118"/>
    </row>
    <row r="115" spans="3:5" s="117" customFormat="1" x14ac:dyDescent="0.35">
      <c r="C115" s="118"/>
      <c r="D115" s="118"/>
      <c r="E115" s="118"/>
    </row>
    <row r="116" spans="3:5" s="117" customFormat="1" x14ac:dyDescent="0.35">
      <c r="C116" s="118"/>
      <c r="D116" s="118"/>
      <c r="E116" s="118"/>
    </row>
    <row r="117" spans="3:5" s="117" customFormat="1" x14ac:dyDescent="0.35">
      <c r="C117" s="118"/>
      <c r="D117" s="118"/>
      <c r="E117" s="118"/>
    </row>
    <row r="118" spans="3:5" s="117" customFormat="1" x14ac:dyDescent="0.35">
      <c r="C118" s="118"/>
      <c r="D118" s="118"/>
      <c r="E118" s="118"/>
    </row>
    <row r="119" spans="3:5" s="117" customFormat="1" x14ac:dyDescent="0.35">
      <c r="C119" s="118"/>
      <c r="D119" s="118"/>
      <c r="E119" s="118"/>
    </row>
    <row r="120" spans="3:5" s="117" customFormat="1" x14ac:dyDescent="0.35">
      <c r="C120" s="118"/>
      <c r="D120" s="118"/>
      <c r="E120" s="118"/>
    </row>
    <row r="121" spans="3:5" s="117" customFormat="1" x14ac:dyDescent="0.35">
      <c r="C121" s="118"/>
      <c r="D121" s="118"/>
      <c r="E121" s="118"/>
    </row>
    <row r="122" spans="3:5" s="117" customFormat="1" x14ac:dyDescent="0.35">
      <c r="C122" s="118"/>
      <c r="D122" s="118"/>
      <c r="E122" s="118"/>
    </row>
    <row r="123" spans="3:5" s="117" customFormat="1" x14ac:dyDescent="0.35">
      <c r="C123" s="118"/>
      <c r="D123" s="118"/>
      <c r="E123" s="118"/>
    </row>
    <row r="124" spans="3:5" s="117" customFormat="1" x14ac:dyDescent="0.35">
      <c r="C124" s="118"/>
      <c r="D124" s="118"/>
      <c r="E124" s="118"/>
    </row>
    <row r="125" spans="3:5" s="117" customFormat="1" x14ac:dyDescent="0.35">
      <c r="C125" s="118"/>
      <c r="D125" s="118"/>
      <c r="E125" s="118"/>
    </row>
    <row r="126" spans="3:5" s="117" customFormat="1" x14ac:dyDescent="0.35">
      <c r="C126" s="118"/>
      <c r="D126" s="118"/>
      <c r="E126" s="118"/>
    </row>
    <row r="127" spans="3:5" s="117" customFormat="1" x14ac:dyDescent="0.35">
      <c r="C127" s="118"/>
      <c r="D127" s="118"/>
      <c r="E127" s="118"/>
    </row>
    <row r="128" spans="3:5" s="117" customFormat="1" x14ac:dyDescent="0.35">
      <c r="C128" s="118"/>
      <c r="D128" s="118"/>
      <c r="E128" s="118"/>
    </row>
    <row r="129" spans="3:5" s="117" customFormat="1" x14ac:dyDescent="0.35">
      <c r="C129" s="118"/>
      <c r="D129" s="118"/>
      <c r="E129" s="118"/>
    </row>
    <row r="130" spans="3:5" s="117" customFormat="1" x14ac:dyDescent="0.35">
      <c r="C130" s="118"/>
      <c r="D130" s="118"/>
      <c r="E130" s="118"/>
    </row>
    <row r="131" spans="3:5" s="117" customFormat="1" x14ac:dyDescent="0.35">
      <c r="C131" s="118"/>
      <c r="D131" s="118"/>
      <c r="E131" s="118"/>
    </row>
    <row r="132" spans="3:5" s="117" customFormat="1" x14ac:dyDescent="0.35">
      <c r="C132" s="118"/>
      <c r="D132" s="118"/>
      <c r="E132" s="118"/>
    </row>
    <row r="133" spans="3:5" s="117" customFormat="1" x14ac:dyDescent="0.35">
      <c r="C133" s="118"/>
      <c r="D133" s="118"/>
      <c r="E133" s="118"/>
    </row>
    <row r="134" spans="3:5" s="117" customFormat="1" x14ac:dyDescent="0.35">
      <c r="C134" s="118"/>
      <c r="D134" s="118"/>
      <c r="E134" s="118"/>
    </row>
    <row r="135" spans="3:5" s="117" customFormat="1" x14ac:dyDescent="0.35">
      <c r="C135" s="118"/>
      <c r="D135" s="118"/>
      <c r="E135" s="118"/>
    </row>
    <row r="136" spans="3:5" s="117" customFormat="1" x14ac:dyDescent="0.35">
      <c r="C136" s="118"/>
      <c r="D136" s="118"/>
      <c r="E136" s="118"/>
    </row>
    <row r="137" spans="3:5" s="117" customFormat="1" x14ac:dyDescent="0.35">
      <c r="C137" s="118"/>
      <c r="D137" s="118"/>
      <c r="E137" s="118"/>
    </row>
    <row r="138" spans="3:5" s="117" customFormat="1" x14ac:dyDescent="0.35">
      <c r="C138" s="118"/>
      <c r="D138" s="118"/>
      <c r="E138" s="118"/>
    </row>
    <row r="139" spans="3:5" s="117" customFormat="1" x14ac:dyDescent="0.35">
      <c r="C139" s="118"/>
      <c r="D139" s="118"/>
      <c r="E139" s="118"/>
    </row>
    <row r="140" spans="3:5" s="117" customFormat="1" x14ac:dyDescent="0.35">
      <c r="C140" s="118"/>
      <c r="D140" s="118"/>
      <c r="E140" s="118"/>
    </row>
    <row r="141" spans="3:5" s="117" customFormat="1" x14ac:dyDescent="0.35">
      <c r="C141" s="118"/>
      <c r="D141" s="118"/>
      <c r="E141" s="118"/>
    </row>
    <row r="142" spans="3:5" s="117" customFormat="1" x14ac:dyDescent="0.35">
      <c r="C142" s="118"/>
      <c r="D142" s="118"/>
      <c r="E142" s="118"/>
    </row>
    <row r="143" spans="3:5" s="117" customFormat="1" x14ac:dyDescent="0.35">
      <c r="C143" s="118"/>
      <c r="D143" s="118"/>
      <c r="E143" s="118"/>
    </row>
    <row r="144" spans="3:5" s="117" customFormat="1" x14ac:dyDescent="0.35">
      <c r="C144" s="118"/>
      <c r="D144" s="118"/>
      <c r="E144" s="118"/>
    </row>
    <row r="145" spans="3:5" s="117" customFormat="1" x14ac:dyDescent="0.35">
      <c r="C145" s="118"/>
      <c r="D145" s="118"/>
      <c r="E145" s="118"/>
    </row>
    <row r="146" spans="3:5" s="117" customFormat="1" x14ac:dyDescent="0.35">
      <c r="C146" s="118"/>
      <c r="D146" s="118"/>
      <c r="E146" s="118"/>
    </row>
    <row r="147" spans="3:5" s="117" customFormat="1" x14ac:dyDescent="0.35">
      <c r="C147" s="118"/>
      <c r="D147" s="118"/>
      <c r="E147" s="118"/>
    </row>
    <row r="148" spans="3:5" s="117" customFormat="1" x14ac:dyDescent="0.35">
      <c r="C148" s="118"/>
      <c r="D148" s="118"/>
      <c r="E148" s="118"/>
    </row>
    <row r="149" spans="3:5" s="117" customFormat="1" x14ac:dyDescent="0.35">
      <c r="C149" s="118"/>
      <c r="D149" s="118"/>
      <c r="E149" s="118"/>
    </row>
    <row r="150" spans="3:5" s="117" customFormat="1" x14ac:dyDescent="0.35">
      <c r="C150" s="118"/>
      <c r="D150" s="118"/>
      <c r="E150" s="118"/>
    </row>
    <row r="151" spans="3:5" s="117" customFormat="1" x14ac:dyDescent="0.35">
      <c r="C151" s="118"/>
      <c r="D151" s="118"/>
      <c r="E151" s="118"/>
    </row>
    <row r="152" spans="3:5" s="117" customFormat="1" x14ac:dyDescent="0.35">
      <c r="C152" s="118"/>
      <c r="D152" s="118"/>
      <c r="E152" s="118"/>
    </row>
    <row r="153" spans="3:5" s="117" customFormat="1" x14ac:dyDescent="0.35">
      <c r="C153" s="118"/>
      <c r="D153" s="118"/>
      <c r="E153" s="118"/>
    </row>
    <row r="154" spans="3:5" s="117" customFormat="1" x14ac:dyDescent="0.35">
      <c r="C154" s="118"/>
      <c r="D154" s="118"/>
      <c r="E154" s="118"/>
    </row>
    <row r="155" spans="3:5" s="117" customFormat="1" x14ac:dyDescent="0.35">
      <c r="C155" s="118"/>
      <c r="D155" s="118"/>
      <c r="E155" s="118"/>
    </row>
    <row r="156" spans="3:5" s="117" customFormat="1" x14ac:dyDescent="0.35">
      <c r="C156" s="118"/>
      <c r="D156" s="118"/>
      <c r="E156" s="118"/>
    </row>
    <row r="157" spans="3:5" s="117" customFormat="1" x14ac:dyDescent="0.35">
      <c r="C157" s="118"/>
      <c r="D157" s="118"/>
      <c r="E157" s="118"/>
    </row>
    <row r="158" spans="3:5" s="117" customFormat="1" x14ac:dyDescent="0.35">
      <c r="C158" s="118"/>
      <c r="D158" s="118"/>
      <c r="E158" s="118"/>
    </row>
    <row r="159" spans="3:5" s="117" customFormat="1" x14ac:dyDescent="0.35">
      <c r="C159" s="118"/>
      <c r="D159" s="118"/>
      <c r="E159" s="118"/>
    </row>
    <row r="160" spans="3:5" s="117" customFormat="1" x14ac:dyDescent="0.35">
      <c r="C160" s="118"/>
      <c r="D160" s="118"/>
      <c r="E160" s="118"/>
    </row>
    <row r="161" spans="3:5" s="117" customFormat="1" x14ac:dyDescent="0.35">
      <c r="C161" s="118"/>
      <c r="D161" s="118"/>
      <c r="E161" s="118"/>
    </row>
    <row r="162" spans="3:5" s="117" customFormat="1" x14ac:dyDescent="0.35">
      <c r="C162" s="118"/>
      <c r="D162" s="118"/>
      <c r="E162" s="118"/>
    </row>
    <row r="163" spans="3:5" s="117" customFormat="1" x14ac:dyDescent="0.35">
      <c r="C163" s="118"/>
      <c r="D163" s="118"/>
      <c r="E163" s="118"/>
    </row>
    <row r="164" spans="3:5" s="117" customFormat="1" x14ac:dyDescent="0.35">
      <c r="C164" s="118"/>
      <c r="D164" s="118"/>
      <c r="E164" s="118"/>
    </row>
    <row r="165" spans="3:5" s="117" customFormat="1" x14ac:dyDescent="0.35">
      <c r="C165" s="118"/>
      <c r="D165" s="118"/>
      <c r="E165" s="118"/>
    </row>
    <row r="166" spans="3:5" s="117" customFormat="1" x14ac:dyDescent="0.35">
      <c r="C166" s="118"/>
      <c r="D166" s="118"/>
      <c r="E166" s="118"/>
    </row>
    <row r="167" spans="3:5" s="117" customFormat="1" x14ac:dyDescent="0.35">
      <c r="C167" s="118"/>
      <c r="D167" s="118"/>
      <c r="E167" s="118"/>
    </row>
    <row r="168" spans="3:5" s="117" customFormat="1" x14ac:dyDescent="0.35">
      <c r="C168" s="118"/>
      <c r="D168" s="118"/>
      <c r="E168" s="118"/>
    </row>
    <row r="169" spans="3:5" s="117" customFormat="1" x14ac:dyDescent="0.35">
      <c r="C169" s="118"/>
      <c r="D169" s="118"/>
      <c r="E169" s="118"/>
    </row>
    <row r="170" spans="3:5" s="117" customFormat="1" x14ac:dyDescent="0.35">
      <c r="C170" s="118"/>
      <c r="D170" s="118"/>
      <c r="E170" s="118"/>
    </row>
    <row r="171" spans="3:5" s="117" customFormat="1" x14ac:dyDescent="0.35">
      <c r="C171" s="118"/>
      <c r="D171" s="118"/>
      <c r="E171" s="118"/>
    </row>
    <row r="172" spans="3:5" s="117" customFormat="1" x14ac:dyDescent="0.35">
      <c r="C172" s="118"/>
      <c r="D172" s="118"/>
      <c r="E172" s="118"/>
    </row>
    <row r="173" spans="3:5" s="117" customFormat="1" x14ac:dyDescent="0.35">
      <c r="C173" s="118"/>
      <c r="D173" s="118"/>
      <c r="E173" s="118"/>
    </row>
    <row r="174" spans="3:5" s="117" customFormat="1" x14ac:dyDescent="0.35">
      <c r="C174" s="118"/>
      <c r="D174" s="118"/>
      <c r="E174" s="118"/>
    </row>
    <row r="175" spans="3:5" s="117" customFormat="1" x14ac:dyDescent="0.35">
      <c r="C175" s="118"/>
      <c r="D175" s="118"/>
      <c r="E175" s="118"/>
    </row>
    <row r="176" spans="3:5" s="117" customFormat="1" x14ac:dyDescent="0.35">
      <c r="C176" s="118"/>
      <c r="D176" s="118"/>
      <c r="E176" s="118"/>
    </row>
    <row r="177" spans="3:5" s="117" customFormat="1" x14ac:dyDescent="0.35">
      <c r="C177" s="118"/>
      <c r="D177" s="118"/>
      <c r="E177" s="118"/>
    </row>
    <row r="178" spans="3:5" s="117" customFormat="1" x14ac:dyDescent="0.35">
      <c r="C178" s="118"/>
      <c r="D178" s="118"/>
      <c r="E178" s="118"/>
    </row>
    <row r="179" spans="3:5" s="117" customFormat="1" x14ac:dyDescent="0.35">
      <c r="C179" s="118"/>
      <c r="D179" s="118"/>
      <c r="E179" s="118"/>
    </row>
    <row r="180" spans="3:5" s="117" customFormat="1" x14ac:dyDescent="0.35">
      <c r="C180" s="118"/>
      <c r="D180" s="118"/>
      <c r="E180" s="118"/>
    </row>
    <row r="181" spans="3:5" s="117" customFormat="1" x14ac:dyDescent="0.35">
      <c r="C181" s="118"/>
      <c r="D181" s="118"/>
      <c r="E181" s="118"/>
    </row>
    <row r="182" spans="3:5" s="117" customFormat="1" x14ac:dyDescent="0.35">
      <c r="C182" s="118"/>
      <c r="D182" s="118"/>
      <c r="E182" s="118"/>
    </row>
    <row r="183" spans="3:5" s="117" customFormat="1" x14ac:dyDescent="0.35">
      <c r="C183" s="118"/>
      <c r="D183" s="118"/>
      <c r="E183" s="118"/>
    </row>
    <row r="184" spans="3:5" s="117" customFormat="1" x14ac:dyDescent="0.35">
      <c r="C184" s="118"/>
      <c r="D184" s="118"/>
      <c r="E184" s="118"/>
    </row>
    <row r="185" spans="3:5" s="117" customFormat="1" x14ac:dyDescent="0.35">
      <c r="C185" s="118"/>
      <c r="D185" s="118"/>
      <c r="E185" s="118"/>
    </row>
    <row r="186" spans="3:5" s="117" customFormat="1" x14ac:dyDescent="0.35">
      <c r="C186" s="118"/>
      <c r="D186" s="118"/>
      <c r="E186" s="118"/>
    </row>
    <row r="187" spans="3:5" s="117" customFormat="1" x14ac:dyDescent="0.35">
      <c r="C187" s="118"/>
      <c r="D187" s="118"/>
      <c r="E187" s="118"/>
    </row>
    <row r="188" spans="3:5" s="117" customFormat="1" x14ac:dyDescent="0.35">
      <c r="C188" s="118"/>
      <c r="D188" s="118"/>
      <c r="E188" s="118"/>
    </row>
    <row r="189" spans="3:5" s="117" customFormat="1" x14ac:dyDescent="0.35">
      <c r="C189" s="118"/>
      <c r="D189" s="118"/>
      <c r="E189" s="118"/>
    </row>
    <row r="190" spans="3:5" s="117" customFormat="1" x14ac:dyDescent="0.35">
      <c r="C190" s="118"/>
      <c r="D190" s="118"/>
      <c r="E190" s="118"/>
    </row>
    <row r="191" spans="3:5" s="117" customFormat="1" x14ac:dyDescent="0.35">
      <c r="C191" s="118"/>
      <c r="D191" s="118"/>
      <c r="E191" s="118"/>
    </row>
    <row r="192" spans="3:5" s="117" customFormat="1" x14ac:dyDescent="0.35">
      <c r="C192" s="118"/>
      <c r="D192" s="118"/>
      <c r="E192" s="118"/>
    </row>
    <row r="193" spans="3:5" s="117" customFormat="1" x14ac:dyDescent="0.35">
      <c r="C193" s="118"/>
      <c r="D193" s="118"/>
      <c r="E193" s="118"/>
    </row>
    <row r="194" spans="3:5" s="117" customFormat="1" x14ac:dyDescent="0.35">
      <c r="C194" s="118"/>
      <c r="D194" s="118"/>
      <c r="E194" s="118"/>
    </row>
    <row r="195" spans="3:5" s="117" customFormat="1" x14ac:dyDescent="0.35">
      <c r="C195" s="118"/>
      <c r="D195" s="118"/>
      <c r="E195" s="118"/>
    </row>
    <row r="196" spans="3:5" s="117" customFormat="1" x14ac:dyDescent="0.35">
      <c r="C196" s="118"/>
      <c r="D196" s="118"/>
      <c r="E196" s="118"/>
    </row>
    <row r="197" spans="3:5" s="117" customFormat="1" x14ac:dyDescent="0.35">
      <c r="C197" s="118"/>
      <c r="D197" s="118"/>
      <c r="E197" s="118"/>
    </row>
    <row r="198" spans="3:5" s="117" customFormat="1" x14ac:dyDescent="0.35">
      <c r="C198" s="118"/>
      <c r="D198" s="118"/>
      <c r="E198" s="118"/>
    </row>
    <row r="199" spans="3:5" s="117" customFormat="1" x14ac:dyDescent="0.35">
      <c r="C199" s="118"/>
      <c r="D199" s="118"/>
      <c r="E199" s="118"/>
    </row>
    <row r="200" spans="3:5" s="117" customFormat="1" x14ac:dyDescent="0.35">
      <c r="C200" s="118"/>
      <c r="D200" s="118"/>
      <c r="E200" s="118"/>
    </row>
    <row r="201" spans="3:5" s="117" customFormat="1" x14ac:dyDescent="0.35">
      <c r="C201" s="118"/>
      <c r="D201" s="118"/>
      <c r="E201" s="118"/>
    </row>
    <row r="202" spans="3:5" s="117" customFormat="1" x14ac:dyDescent="0.35">
      <c r="C202" s="118"/>
      <c r="D202" s="118"/>
      <c r="E202" s="118"/>
    </row>
    <row r="203" spans="3:5" s="117" customFormat="1" x14ac:dyDescent="0.35">
      <c r="C203" s="118"/>
      <c r="D203" s="118"/>
      <c r="E203" s="118"/>
    </row>
    <row r="204" spans="3:5" s="117" customFormat="1" x14ac:dyDescent="0.35">
      <c r="C204" s="118"/>
      <c r="D204" s="118"/>
      <c r="E204" s="118"/>
    </row>
    <row r="205" spans="3:5" s="117" customFormat="1" x14ac:dyDescent="0.35">
      <c r="C205" s="118"/>
      <c r="D205" s="118"/>
      <c r="E205" s="118"/>
    </row>
    <row r="206" spans="3:5" s="117" customFormat="1" x14ac:dyDescent="0.35">
      <c r="C206" s="118"/>
      <c r="D206" s="118"/>
      <c r="E206" s="118"/>
    </row>
    <row r="207" spans="3:5" s="117" customFormat="1" x14ac:dyDescent="0.35">
      <c r="C207" s="118"/>
      <c r="D207" s="118"/>
      <c r="E207" s="118"/>
    </row>
    <row r="208" spans="3:5" s="117" customFormat="1" x14ac:dyDescent="0.35">
      <c r="C208" s="118"/>
      <c r="D208" s="118"/>
      <c r="E208" s="118"/>
    </row>
    <row r="209" spans="3:5" s="117" customFormat="1" x14ac:dyDescent="0.35">
      <c r="C209" s="118"/>
      <c r="D209" s="118"/>
      <c r="E209" s="118"/>
    </row>
    <row r="210" spans="3:5" s="117" customFormat="1" x14ac:dyDescent="0.35">
      <c r="C210" s="118"/>
      <c r="D210" s="118"/>
      <c r="E210" s="118"/>
    </row>
    <row r="211" spans="3:5" s="117" customFormat="1" x14ac:dyDescent="0.35">
      <c r="C211" s="118"/>
      <c r="D211" s="118"/>
      <c r="E211" s="118"/>
    </row>
    <row r="212" spans="3:5" s="117" customFormat="1" x14ac:dyDescent="0.35">
      <c r="C212" s="118"/>
      <c r="D212" s="118"/>
      <c r="E212" s="118"/>
    </row>
    <row r="213" spans="3:5" s="117" customFormat="1" x14ac:dyDescent="0.35">
      <c r="C213" s="118"/>
      <c r="D213" s="118"/>
      <c r="E213" s="118"/>
    </row>
    <row r="214" spans="3:5" s="117" customFormat="1" x14ac:dyDescent="0.35">
      <c r="C214" s="118"/>
      <c r="D214" s="118"/>
      <c r="E214" s="118"/>
    </row>
    <row r="215" spans="3:5" s="117" customFormat="1" x14ac:dyDescent="0.35">
      <c r="C215" s="118"/>
      <c r="D215" s="118"/>
      <c r="E215" s="118"/>
    </row>
    <row r="216" spans="3:5" s="117" customFormat="1" x14ac:dyDescent="0.35">
      <c r="C216" s="118"/>
      <c r="D216" s="118"/>
      <c r="E216" s="118"/>
    </row>
    <row r="217" spans="3:5" s="117" customFormat="1" x14ac:dyDescent="0.35">
      <c r="C217" s="118"/>
      <c r="D217" s="118"/>
      <c r="E217" s="118"/>
    </row>
    <row r="218" spans="3:5" s="117" customFormat="1" x14ac:dyDescent="0.35">
      <c r="C218" s="118"/>
      <c r="D218" s="118"/>
      <c r="E218" s="118"/>
    </row>
    <row r="219" spans="3:5" s="117" customFormat="1" x14ac:dyDescent="0.35">
      <c r="C219" s="118"/>
      <c r="D219" s="118"/>
      <c r="E219" s="118"/>
    </row>
    <row r="220" spans="3:5" s="117" customFormat="1" x14ac:dyDescent="0.35">
      <c r="C220" s="118"/>
      <c r="D220" s="118"/>
      <c r="E220" s="118"/>
    </row>
    <row r="221" spans="3:5" s="117" customFormat="1" x14ac:dyDescent="0.35">
      <c r="C221" s="118"/>
      <c r="D221" s="118"/>
      <c r="E221" s="118"/>
    </row>
    <row r="222" spans="3:5" s="117" customFormat="1" x14ac:dyDescent="0.35">
      <c r="C222" s="118"/>
      <c r="D222" s="118"/>
      <c r="E222" s="118"/>
    </row>
    <row r="223" spans="3:5" s="117" customFormat="1" x14ac:dyDescent="0.35">
      <c r="C223" s="118"/>
      <c r="D223" s="118"/>
      <c r="E223" s="118"/>
    </row>
    <row r="224" spans="3:5" s="117" customFormat="1" x14ac:dyDescent="0.35">
      <c r="C224" s="118"/>
      <c r="D224" s="118"/>
      <c r="E224" s="118"/>
    </row>
    <row r="225" spans="3:5" s="117" customFormat="1" x14ac:dyDescent="0.35">
      <c r="C225" s="118"/>
      <c r="D225" s="118"/>
      <c r="E225" s="118"/>
    </row>
    <row r="226" spans="3:5" s="117" customFormat="1" x14ac:dyDescent="0.35">
      <c r="C226" s="118"/>
      <c r="D226" s="118"/>
      <c r="E226" s="118"/>
    </row>
    <row r="227" spans="3:5" s="117" customFormat="1" x14ac:dyDescent="0.35">
      <c r="C227" s="118"/>
      <c r="D227" s="118"/>
      <c r="E227" s="118"/>
    </row>
    <row r="228" spans="3:5" s="117" customFormat="1" x14ac:dyDescent="0.35">
      <c r="C228" s="118"/>
      <c r="D228" s="118"/>
      <c r="E228" s="118"/>
    </row>
    <row r="229" spans="3:5" s="117" customFormat="1" x14ac:dyDescent="0.35">
      <c r="C229" s="118"/>
      <c r="D229" s="118"/>
      <c r="E229" s="118"/>
    </row>
    <row r="230" spans="3:5" s="117" customFormat="1" x14ac:dyDescent="0.35">
      <c r="C230" s="118"/>
      <c r="D230" s="118"/>
      <c r="E230" s="118"/>
    </row>
    <row r="231" spans="3:5" s="117" customFormat="1" x14ac:dyDescent="0.35">
      <c r="C231" s="118"/>
      <c r="D231" s="118"/>
      <c r="E231" s="118"/>
    </row>
    <row r="232" spans="3:5" s="117" customFormat="1" x14ac:dyDescent="0.35">
      <c r="C232" s="118"/>
      <c r="D232" s="118"/>
      <c r="E232" s="118"/>
    </row>
    <row r="233" spans="3:5" s="117" customFormat="1" x14ac:dyDescent="0.35">
      <c r="C233" s="118"/>
      <c r="D233" s="118"/>
      <c r="E233" s="118"/>
    </row>
    <row r="234" spans="3:5" s="117" customFormat="1" x14ac:dyDescent="0.35">
      <c r="C234" s="118"/>
      <c r="D234" s="118"/>
      <c r="E234" s="118"/>
    </row>
    <row r="235" spans="3:5" s="117" customFormat="1" x14ac:dyDescent="0.35">
      <c r="C235" s="118"/>
      <c r="D235" s="118"/>
      <c r="E235" s="118"/>
    </row>
    <row r="236" spans="3:5" s="117" customFormat="1" x14ac:dyDescent="0.35">
      <c r="C236" s="118"/>
      <c r="D236" s="118"/>
      <c r="E236" s="118"/>
    </row>
    <row r="237" spans="3:5" s="117" customFormat="1" x14ac:dyDescent="0.35">
      <c r="C237" s="118"/>
      <c r="D237" s="118"/>
      <c r="E237" s="118"/>
    </row>
    <row r="238" spans="3:5" s="117" customFormat="1" x14ac:dyDescent="0.35">
      <c r="C238" s="118"/>
      <c r="D238" s="118"/>
      <c r="E238" s="118"/>
    </row>
    <row r="239" spans="3:5" s="117" customFormat="1" x14ac:dyDescent="0.35">
      <c r="C239" s="118"/>
      <c r="D239" s="118"/>
      <c r="E239" s="118"/>
    </row>
    <row r="240" spans="3:5" s="117" customFormat="1" x14ac:dyDescent="0.35">
      <c r="C240" s="118"/>
      <c r="D240" s="118"/>
      <c r="E240" s="118"/>
    </row>
    <row r="241" spans="3:5" s="117" customFormat="1" x14ac:dyDescent="0.35">
      <c r="C241" s="118"/>
      <c r="D241" s="118"/>
      <c r="E241" s="118"/>
    </row>
    <row r="242" spans="3:5" s="117" customFormat="1" x14ac:dyDescent="0.35">
      <c r="C242" s="118"/>
      <c r="D242" s="118"/>
      <c r="E242" s="118"/>
    </row>
    <row r="243" spans="3:5" s="117" customFormat="1" x14ac:dyDescent="0.35">
      <c r="C243" s="118"/>
      <c r="D243" s="118"/>
      <c r="E243" s="118"/>
    </row>
    <row r="244" spans="3:5" s="117" customFormat="1" x14ac:dyDescent="0.35">
      <c r="C244" s="118"/>
      <c r="D244" s="118"/>
      <c r="E244" s="118"/>
    </row>
    <row r="245" spans="3:5" s="117" customFormat="1" x14ac:dyDescent="0.35">
      <c r="C245" s="118"/>
      <c r="D245" s="118"/>
      <c r="E245" s="118"/>
    </row>
    <row r="246" spans="3:5" s="117" customFormat="1" x14ac:dyDescent="0.35">
      <c r="C246" s="118"/>
      <c r="D246" s="118"/>
      <c r="E246" s="118"/>
    </row>
    <row r="247" spans="3:5" s="117" customFormat="1" x14ac:dyDescent="0.35">
      <c r="C247" s="118"/>
      <c r="D247" s="118"/>
      <c r="E247" s="118"/>
    </row>
    <row r="248" spans="3:5" s="117" customFormat="1" x14ac:dyDescent="0.35">
      <c r="C248" s="118"/>
      <c r="D248" s="118"/>
      <c r="E248" s="118"/>
    </row>
    <row r="249" spans="3:5" s="117" customFormat="1" x14ac:dyDescent="0.35">
      <c r="C249" s="118"/>
      <c r="D249" s="118"/>
      <c r="E249" s="118"/>
    </row>
    <row r="250" spans="3:5" s="117" customFormat="1" x14ac:dyDescent="0.35">
      <c r="C250" s="118"/>
      <c r="D250" s="118"/>
      <c r="E250" s="118"/>
    </row>
    <row r="251" spans="3:5" s="117" customFormat="1" x14ac:dyDescent="0.35">
      <c r="C251" s="118"/>
      <c r="D251" s="118"/>
      <c r="E251" s="118"/>
    </row>
    <row r="252" spans="3:5" s="117" customFormat="1" x14ac:dyDescent="0.35">
      <c r="C252" s="118"/>
      <c r="D252" s="118"/>
      <c r="E252" s="118"/>
    </row>
    <row r="253" spans="3:5" s="117" customFormat="1" x14ac:dyDescent="0.35">
      <c r="C253" s="118"/>
      <c r="D253" s="118"/>
      <c r="E253" s="118"/>
    </row>
    <row r="254" spans="3:5" s="117" customFormat="1" x14ac:dyDescent="0.35">
      <c r="C254" s="118"/>
      <c r="D254" s="118"/>
      <c r="E254" s="118"/>
    </row>
    <row r="255" spans="3:5" s="117" customFormat="1" x14ac:dyDescent="0.35">
      <c r="C255" s="118"/>
      <c r="D255" s="118"/>
      <c r="E255" s="118"/>
    </row>
    <row r="256" spans="3:5" s="117" customFormat="1" x14ac:dyDescent="0.35">
      <c r="C256" s="118"/>
      <c r="D256" s="118"/>
      <c r="E256" s="118"/>
    </row>
    <row r="257" spans="3:5" s="117" customFormat="1" x14ac:dyDescent="0.35">
      <c r="C257" s="118"/>
      <c r="D257" s="118"/>
      <c r="E257" s="118"/>
    </row>
    <row r="258" spans="3:5" s="117" customFormat="1" x14ac:dyDescent="0.35">
      <c r="C258" s="118"/>
      <c r="D258" s="118"/>
      <c r="E258" s="118"/>
    </row>
    <row r="259" spans="3:5" s="117" customFormat="1" x14ac:dyDescent="0.35">
      <c r="C259" s="118"/>
      <c r="D259" s="118"/>
      <c r="E259" s="118"/>
    </row>
    <row r="260" spans="3:5" s="117" customFormat="1" x14ac:dyDescent="0.35">
      <c r="C260" s="118"/>
      <c r="D260" s="118"/>
      <c r="E260" s="118"/>
    </row>
    <row r="261" spans="3:5" s="117" customFormat="1" x14ac:dyDescent="0.35">
      <c r="C261" s="118"/>
      <c r="D261" s="118"/>
      <c r="E261" s="118"/>
    </row>
    <row r="262" spans="3:5" s="117" customFormat="1" x14ac:dyDescent="0.35">
      <c r="C262" s="118"/>
      <c r="D262" s="118"/>
      <c r="E262" s="118"/>
    </row>
    <row r="263" spans="3:5" s="117" customFormat="1" x14ac:dyDescent="0.35">
      <c r="C263" s="118"/>
      <c r="D263" s="118"/>
      <c r="E263" s="118"/>
    </row>
    <row r="264" spans="3:5" s="117" customFormat="1" x14ac:dyDescent="0.35">
      <c r="C264" s="118"/>
      <c r="D264" s="118"/>
      <c r="E264" s="118"/>
    </row>
    <row r="265" spans="3:5" s="117" customFormat="1" x14ac:dyDescent="0.35">
      <c r="C265" s="118"/>
      <c r="D265" s="118"/>
      <c r="E265" s="118"/>
    </row>
    <row r="266" spans="3:5" s="117" customFormat="1" x14ac:dyDescent="0.35">
      <c r="C266" s="118"/>
      <c r="D266" s="118"/>
      <c r="E266" s="118"/>
    </row>
    <row r="267" spans="3:5" s="117" customFormat="1" x14ac:dyDescent="0.35">
      <c r="C267" s="118"/>
      <c r="D267" s="118"/>
      <c r="E267" s="118"/>
    </row>
    <row r="268" spans="3:5" s="117" customFormat="1" x14ac:dyDescent="0.35">
      <c r="C268" s="118"/>
      <c r="D268" s="118"/>
      <c r="E268" s="118"/>
    </row>
    <row r="269" spans="3:5" s="117" customFormat="1" x14ac:dyDescent="0.35">
      <c r="C269" s="118"/>
      <c r="D269" s="118"/>
      <c r="E269" s="118"/>
    </row>
    <row r="270" spans="3:5" s="117" customFormat="1" x14ac:dyDescent="0.35">
      <c r="C270" s="118"/>
      <c r="D270" s="118"/>
      <c r="E270" s="118"/>
    </row>
    <row r="271" spans="3:5" s="117" customFormat="1" x14ac:dyDescent="0.35">
      <c r="C271" s="118"/>
      <c r="D271" s="118"/>
      <c r="E271" s="118"/>
    </row>
    <row r="272" spans="3:5" s="117" customFormat="1" x14ac:dyDescent="0.35">
      <c r="C272" s="118"/>
      <c r="D272" s="118"/>
      <c r="E272" s="118"/>
    </row>
    <row r="273" spans="3:5" s="117" customFormat="1" x14ac:dyDescent="0.35">
      <c r="C273" s="118"/>
      <c r="D273" s="118"/>
      <c r="E273" s="118"/>
    </row>
    <row r="274" spans="3:5" s="117" customFormat="1" x14ac:dyDescent="0.35">
      <c r="C274" s="118"/>
      <c r="D274" s="118"/>
      <c r="E274" s="118"/>
    </row>
    <row r="275" spans="3:5" s="117" customFormat="1" x14ac:dyDescent="0.35">
      <c r="C275" s="118"/>
      <c r="D275" s="118"/>
      <c r="E275" s="118"/>
    </row>
    <row r="276" spans="3:5" s="117" customFormat="1" x14ac:dyDescent="0.35">
      <c r="C276" s="118"/>
      <c r="D276" s="118"/>
      <c r="E276" s="118"/>
    </row>
    <row r="277" spans="3:5" s="117" customFormat="1" x14ac:dyDescent="0.35">
      <c r="C277" s="118"/>
      <c r="D277" s="118"/>
      <c r="E277" s="118"/>
    </row>
    <row r="278" spans="3:5" s="117" customFormat="1" x14ac:dyDescent="0.35">
      <c r="C278" s="118"/>
      <c r="D278" s="118"/>
      <c r="E278" s="118"/>
    </row>
    <row r="279" spans="3:5" s="117" customFormat="1" x14ac:dyDescent="0.35">
      <c r="C279" s="118"/>
      <c r="D279" s="118"/>
      <c r="E279" s="118"/>
    </row>
    <row r="280" spans="3:5" s="117" customFormat="1" x14ac:dyDescent="0.35">
      <c r="C280" s="118"/>
      <c r="D280" s="118"/>
      <c r="E280" s="118"/>
    </row>
    <row r="281" spans="3:5" s="117" customFormat="1" x14ac:dyDescent="0.35">
      <c r="C281" s="118"/>
      <c r="D281" s="118"/>
      <c r="E281" s="118"/>
    </row>
    <row r="282" spans="3:5" s="117" customFormat="1" x14ac:dyDescent="0.35">
      <c r="C282" s="118"/>
      <c r="D282" s="118"/>
      <c r="E282" s="118"/>
    </row>
    <row r="283" spans="3:5" s="117" customFormat="1" x14ac:dyDescent="0.35">
      <c r="C283" s="118"/>
      <c r="D283" s="118"/>
      <c r="E283" s="118"/>
    </row>
    <row r="284" spans="3:5" s="117" customFormat="1" x14ac:dyDescent="0.35">
      <c r="C284" s="118"/>
      <c r="D284" s="118"/>
      <c r="E284" s="118"/>
    </row>
    <row r="285" spans="3:5" s="117" customFormat="1" x14ac:dyDescent="0.35">
      <c r="C285" s="118"/>
      <c r="D285" s="118"/>
      <c r="E285" s="118"/>
    </row>
    <row r="286" spans="3:5" s="117" customFormat="1" x14ac:dyDescent="0.35">
      <c r="C286" s="118"/>
      <c r="D286" s="118"/>
      <c r="E286" s="118"/>
    </row>
    <row r="287" spans="3:5" s="117" customFormat="1" x14ac:dyDescent="0.35">
      <c r="C287" s="118"/>
      <c r="D287" s="118"/>
      <c r="E287" s="118"/>
    </row>
    <row r="288" spans="3:5" s="117" customFormat="1" x14ac:dyDescent="0.35">
      <c r="C288" s="118"/>
      <c r="D288" s="118"/>
      <c r="E288" s="118"/>
    </row>
    <row r="289" spans="3:5" s="117" customFormat="1" x14ac:dyDescent="0.35">
      <c r="C289" s="118"/>
      <c r="D289" s="118"/>
      <c r="E289" s="118"/>
    </row>
    <row r="290" spans="3:5" s="117" customFormat="1" x14ac:dyDescent="0.35">
      <c r="C290" s="118"/>
      <c r="D290" s="118"/>
      <c r="E290" s="118"/>
    </row>
    <row r="291" spans="3:5" s="117" customFormat="1" x14ac:dyDescent="0.35">
      <c r="C291" s="118"/>
      <c r="D291" s="118"/>
      <c r="E291" s="118"/>
    </row>
    <row r="292" spans="3:5" s="117" customFormat="1" x14ac:dyDescent="0.35">
      <c r="C292" s="118"/>
      <c r="D292" s="118"/>
      <c r="E292" s="118"/>
    </row>
    <row r="293" spans="3:5" s="117" customFormat="1" x14ac:dyDescent="0.35">
      <c r="C293" s="118"/>
      <c r="D293" s="118"/>
      <c r="E293" s="118"/>
    </row>
    <row r="294" spans="3:5" s="117" customFormat="1" x14ac:dyDescent="0.35">
      <c r="C294" s="118"/>
      <c r="D294" s="118"/>
      <c r="E294" s="118"/>
    </row>
    <row r="295" spans="3:5" s="117" customFormat="1" x14ac:dyDescent="0.35">
      <c r="C295" s="118"/>
      <c r="D295" s="118"/>
      <c r="E295" s="118"/>
    </row>
    <row r="296" spans="3:5" s="117" customFormat="1" x14ac:dyDescent="0.35">
      <c r="C296" s="118"/>
      <c r="D296" s="118"/>
      <c r="E296" s="118"/>
    </row>
    <row r="297" spans="3:5" s="117" customFormat="1" x14ac:dyDescent="0.35">
      <c r="C297" s="118"/>
      <c r="D297" s="118"/>
      <c r="E297" s="118"/>
    </row>
    <row r="298" spans="3:5" s="117" customFormat="1" x14ac:dyDescent="0.35">
      <c r="C298" s="118"/>
      <c r="D298" s="118"/>
      <c r="E298" s="118"/>
    </row>
    <row r="299" spans="3:5" s="117" customFormat="1" x14ac:dyDescent="0.35">
      <c r="C299" s="118"/>
      <c r="D299" s="118"/>
      <c r="E299" s="118"/>
    </row>
    <row r="300" spans="3:5" s="117" customFormat="1" x14ac:dyDescent="0.35">
      <c r="C300" s="118"/>
      <c r="D300" s="118"/>
      <c r="E300" s="118"/>
    </row>
    <row r="301" spans="3:5" s="117" customFormat="1" x14ac:dyDescent="0.35">
      <c r="C301" s="118"/>
      <c r="D301" s="118"/>
      <c r="E301" s="118"/>
    </row>
    <row r="302" spans="3:5" s="117" customFormat="1" x14ac:dyDescent="0.35">
      <c r="C302" s="118"/>
      <c r="D302" s="118"/>
      <c r="E302" s="118"/>
    </row>
    <row r="303" spans="3:5" s="117" customFormat="1" x14ac:dyDescent="0.35">
      <c r="C303" s="118"/>
      <c r="D303" s="118"/>
      <c r="E303" s="118"/>
    </row>
    <row r="304" spans="3:5" s="117" customFormat="1" x14ac:dyDescent="0.35">
      <c r="C304" s="118"/>
      <c r="D304" s="118"/>
      <c r="E304" s="118"/>
    </row>
    <row r="305" spans="3:5" s="117" customFormat="1" x14ac:dyDescent="0.35">
      <c r="C305" s="118"/>
      <c r="D305" s="118"/>
      <c r="E305" s="118"/>
    </row>
    <row r="306" spans="3:5" s="117" customFormat="1" x14ac:dyDescent="0.35">
      <c r="C306" s="118"/>
      <c r="D306" s="118"/>
      <c r="E306" s="118"/>
    </row>
    <row r="307" spans="3:5" s="117" customFormat="1" x14ac:dyDescent="0.35">
      <c r="C307" s="118"/>
      <c r="D307" s="118"/>
      <c r="E307" s="118"/>
    </row>
    <row r="308" spans="3:5" s="117" customFormat="1" x14ac:dyDescent="0.35">
      <c r="C308" s="118"/>
      <c r="D308" s="118"/>
      <c r="E308" s="118"/>
    </row>
    <row r="309" spans="3:5" s="117" customFormat="1" x14ac:dyDescent="0.35">
      <c r="C309" s="118"/>
      <c r="D309" s="118"/>
      <c r="E309" s="118"/>
    </row>
    <row r="310" spans="3:5" s="117" customFormat="1" x14ac:dyDescent="0.35">
      <c r="C310" s="118"/>
      <c r="D310" s="118"/>
      <c r="E310" s="118"/>
    </row>
    <row r="311" spans="3:5" s="117" customFormat="1" x14ac:dyDescent="0.35">
      <c r="C311" s="118"/>
      <c r="D311" s="118"/>
      <c r="E311" s="118"/>
    </row>
    <row r="312" spans="3:5" s="117" customFormat="1" x14ac:dyDescent="0.35">
      <c r="C312" s="118"/>
      <c r="D312" s="118"/>
      <c r="E312" s="118"/>
    </row>
    <row r="313" spans="3:5" s="117" customFormat="1" x14ac:dyDescent="0.35">
      <c r="C313" s="118"/>
      <c r="D313" s="118"/>
      <c r="E313" s="118"/>
    </row>
    <row r="314" spans="3:5" s="117" customFormat="1" x14ac:dyDescent="0.35">
      <c r="C314" s="118"/>
      <c r="D314" s="118"/>
      <c r="E314" s="118"/>
    </row>
    <row r="315" spans="3:5" s="117" customFormat="1" x14ac:dyDescent="0.35">
      <c r="C315" s="118"/>
      <c r="D315" s="118"/>
      <c r="E315" s="118"/>
    </row>
    <row r="316" spans="3:5" s="117" customFormat="1" x14ac:dyDescent="0.35">
      <c r="C316" s="118"/>
      <c r="D316" s="118"/>
      <c r="E316" s="118"/>
    </row>
    <row r="317" spans="3:5" s="117" customFormat="1" x14ac:dyDescent="0.35">
      <c r="C317" s="118"/>
      <c r="D317" s="118"/>
      <c r="E317" s="118"/>
    </row>
    <row r="318" spans="3:5" s="117" customFormat="1" x14ac:dyDescent="0.35">
      <c r="C318" s="118"/>
      <c r="D318" s="118"/>
      <c r="E318" s="118"/>
    </row>
    <row r="319" spans="3:5" s="117" customFormat="1" x14ac:dyDescent="0.35">
      <c r="C319" s="118"/>
      <c r="D319" s="118"/>
      <c r="E319" s="118"/>
    </row>
    <row r="320" spans="3:5" s="117" customFormat="1" x14ac:dyDescent="0.35">
      <c r="C320" s="118"/>
      <c r="D320" s="118"/>
      <c r="E320" s="118"/>
    </row>
    <row r="321" spans="3:5" s="117" customFormat="1" x14ac:dyDescent="0.35">
      <c r="C321" s="118"/>
      <c r="D321" s="118"/>
      <c r="E321" s="118"/>
    </row>
    <row r="322" spans="3:5" s="117" customFormat="1" x14ac:dyDescent="0.35">
      <c r="C322" s="118"/>
      <c r="D322" s="118"/>
      <c r="E322" s="118"/>
    </row>
    <row r="323" spans="3:5" s="117" customFormat="1" x14ac:dyDescent="0.35">
      <c r="C323" s="118"/>
      <c r="D323" s="118"/>
      <c r="E323" s="118"/>
    </row>
    <row r="324" spans="3:5" s="117" customFormat="1" x14ac:dyDescent="0.35">
      <c r="C324" s="118"/>
      <c r="D324" s="118"/>
      <c r="E324" s="118"/>
    </row>
    <row r="325" spans="3:5" s="117" customFormat="1" x14ac:dyDescent="0.35">
      <c r="C325" s="118"/>
      <c r="D325" s="118"/>
      <c r="E325" s="118"/>
    </row>
    <row r="326" spans="3:5" s="117" customFormat="1" x14ac:dyDescent="0.35">
      <c r="C326" s="118"/>
      <c r="D326" s="118"/>
      <c r="E326" s="118"/>
    </row>
    <row r="327" spans="3:5" s="117" customFormat="1" x14ac:dyDescent="0.35">
      <c r="C327" s="118"/>
      <c r="D327" s="118"/>
      <c r="E327" s="118"/>
    </row>
    <row r="328" spans="3:5" s="117" customFormat="1" x14ac:dyDescent="0.35">
      <c r="C328" s="118"/>
      <c r="D328" s="118"/>
      <c r="E328" s="118"/>
    </row>
    <row r="329" spans="3:5" s="117" customFormat="1" x14ac:dyDescent="0.35">
      <c r="C329" s="118"/>
      <c r="D329" s="118"/>
      <c r="E329" s="118"/>
    </row>
    <row r="330" spans="3:5" s="117" customFormat="1" x14ac:dyDescent="0.35">
      <c r="C330" s="118"/>
      <c r="D330" s="118"/>
      <c r="E330" s="118"/>
    </row>
    <row r="331" spans="3:5" s="117" customFormat="1" x14ac:dyDescent="0.35">
      <c r="C331" s="118"/>
      <c r="D331" s="118"/>
      <c r="E331" s="118"/>
    </row>
    <row r="332" spans="3:5" s="117" customFormat="1" x14ac:dyDescent="0.35">
      <c r="C332" s="118"/>
      <c r="D332" s="118"/>
      <c r="E332" s="118"/>
    </row>
    <row r="333" spans="3:5" s="117" customFormat="1" x14ac:dyDescent="0.35">
      <c r="C333" s="118"/>
      <c r="D333" s="118"/>
      <c r="E333" s="118"/>
    </row>
    <row r="334" spans="3:5" s="117" customFormat="1" x14ac:dyDescent="0.35">
      <c r="C334" s="118"/>
      <c r="D334" s="118"/>
      <c r="E334" s="118"/>
    </row>
    <row r="335" spans="3:5" s="117" customFormat="1" x14ac:dyDescent="0.35">
      <c r="C335" s="118"/>
      <c r="D335" s="118"/>
      <c r="E335" s="118"/>
    </row>
    <row r="336" spans="3:5" s="117" customFormat="1" x14ac:dyDescent="0.35">
      <c r="C336" s="118"/>
      <c r="D336" s="118"/>
      <c r="E336" s="118"/>
    </row>
    <row r="337" spans="3:5" s="117" customFormat="1" x14ac:dyDescent="0.35">
      <c r="C337" s="118"/>
      <c r="D337" s="118"/>
      <c r="E337" s="118"/>
    </row>
    <row r="338" spans="3:5" s="117" customFormat="1" x14ac:dyDescent="0.35">
      <c r="C338" s="118"/>
      <c r="D338" s="118"/>
      <c r="E338" s="118"/>
    </row>
    <row r="339" spans="3:5" s="117" customFormat="1" x14ac:dyDescent="0.35">
      <c r="C339" s="118"/>
      <c r="D339" s="118"/>
      <c r="E339" s="118"/>
    </row>
    <row r="340" spans="3:5" s="117" customFormat="1" x14ac:dyDescent="0.35">
      <c r="C340" s="118"/>
      <c r="D340" s="118"/>
      <c r="E340" s="118"/>
    </row>
    <row r="341" spans="3:5" s="117" customFormat="1" x14ac:dyDescent="0.35">
      <c r="C341" s="118"/>
      <c r="D341" s="118"/>
      <c r="E341" s="118"/>
    </row>
    <row r="342" spans="3:5" s="117" customFormat="1" x14ac:dyDescent="0.35">
      <c r="C342" s="118"/>
      <c r="D342" s="118"/>
      <c r="E342" s="118"/>
    </row>
    <row r="343" spans="3:5" s="117" customFormat="1" x14ac:dyDescent="0.35">
      <c r="C343" s="118"/>
      <c r="D343" s="118"/>
      <c r="E343" s="118"/>
    </row>
    <row r="344" spans="3:5" s="117" customFormat="1" x14ac:dyDescent="0.35">
      <c r="C344" s="118"/>
      <c r="D344" s="118"/>
      <c r="E344" s="118"/>
    </row>
    <row r="345" spans="3:5" s="117" customFormat="1" x14ac:dyDescent="0.35">
      <c r="C345" s="118"/>
      <c r="D345" s="118"/>
      <c r="E345" s="118"/>
    </row>
    <row r="346" spans="3:5" s="117" customFormat="1" x14ac:dyDescent="0.35">
      <c r="C346" s="118"/>
      <c r="D346" s="118"/>
      <c r="E346" s="118"/>
    </row>
    <row r="347" spans="3:5" s="117" customFormat="1" x14ac:dyDescent="0.35">
      <c r="C347" s="118"/>
      <c r="D347" s="118"/>
      <c r="E347" s="118"/>
    </row>
    <row r="348" spans="3:5" s="117" customFormat="1" x14ac:dyDescent="0.35">
      <c r="C348" s="118"/>
      <c r="D348" s="118"/>
      <c r="E348" s="118"/>
    </row>
    <row r="349" spans="3:5" s="117" customFormat="1" x14ac:dyDescent="0.35">
      <c r="C349" s="118"/>
      <c r="D349" s="118"/>
      <c r="E349" s="118"/>
    </row>
    <row r="350" spans="3:5" s="117" customFormat="1" x14ac:dyDescent="0.35">
      <c r="C350" s="118"/>
      <c r="D350" s="118"/>
      <c r="E350" s="118"/>
    </row>
    <row r="351" spans="3:5" s="117" customFormat="1" x14ac:dyDescent="0.35">
      <c r="C351" s="118"/>
      <c r="D351" s="118"/>
      <c r="E351" s="118"/>
    </row>
    <row r="352" spans="3:5" s="117" customFormat="1" x14ac:dyDescent="0.35">
      <c r="C352" s="118"/>
      <c r="D352" s="118"/>
      <c r="E352" s="118"/>
    </row>
    <row r="353" spans="3:5" s="117" customFormat="1" x14ac:dyDescent="0.35">
      <c r="C353" s="118"/>
      <c r="D353" s="118"/>
      <c r="E353" s="118"/>
    </row>
    <row r="354" spans="3:5" s="117" customFormat="1" x14ac:dyDescent="0.35">
      <c r="C354" s="118"/>
      <c r="D354" s="118"/>
      <c r="E354" s="118"/>
    </row>
    <row r="355" spans="3:5" s="117" customFormat="1" x14ac:dyDescent="0.35">
      <c r="C355" s="118"/>
      <c r="D355" s="118"/>
      <c r="E355" s="118"/>
    </row>
    <row r="356" spans="3:5" s="117" customFormat="1" x14ac:dyDescent="0.35">
      <c r="C356" s="118"/>
      <c r="D356" s="118"/>
      <c r="E356" s="118"/>
    </row>
    <row r="357" spans="3:5" s="117" customFormat="1" x14ac:dyDescent="0.35">
      <c r="C357" s="118"/>
      <c r="D357" s="118"/>
      <c r="E357" s="118"/>
    </row>
    <row r="358" spans="3:5" s="117" customFormat="1" x14ac:dyDescent="0.35">
      <c r="C358" s="118"/>
      <c r="D358" s="118"/>
      <c r="E358" s="118"/>
    </row>
    <row r="359" spans="3:5" s="117" customFormat="1" x14ac:dyDescent="0.35">
      <c r="C359" s="118"/>
      <c r="D359" s="118"/>
      <c r="E359" s="118"/>
    </row>
    <row r="360" spans="3:5" s="117" customFormat="1" x14ac:dyDescent="0.35">
      <c r="C360" s="118"/>
      <c r="D360" s="118"/>
      <c r="E360" s="118"/>
    </row>
    <row r="361" spans="3:5" s="117" customFormat="1" x14ac:dyDescent="0.35">
      <c r="C361" s="118"/>
      <c r="D361" s="118"/>
      <c r="E361" s="118"/>
    </row>
    <row r="362" spans="3:5" s="117" customFormat="1" x14ac:dyDescent="0.35">
      <c r="C362" s="118"/>
      <c r="D362" s="118"/>
      <c r="E362" s="118"/>
    </row>
    <row r="363" spans="3:5" s="117" customFormat="1" x14ac:dyDescent="0.35">
      <c r="C363" s="118"/>
      <c r="D363" s="118"/>
      <c r="E363" s="118"/>
    </row>
    <row r="364" spans="3:5" s="117" customFormat="1" x14ac:dyDescent="0.35">
      <c r="C364" s="118"/>
      <c r="D364" s="118"/>
      <c r="E364" s="118"/>
    </row>
    <row r="365" spans="3:5" s="117" customFormat="1" x14ac:dyDescent="0.35">
      <c r="C365" s="118"/>
      <c r="D365" s="118"/>
      <c r="E365" s="118"/>
    </row>
    <row r="366" spans="3:5" s="117" customFormat="1" x14ac:dyDescent="0.35">
      <c r="C366" s="118"/>
      <c r="D366" s="118"/>
      <c r="E366" s="118"/>
    </row>
    <row r="367" spans="3:5" s="117" customFormat="1" x14ac:dyDescent="0.35">
      <c r="C367" s="118"/>
      <c r="D367" s="118"/>
      <c r="E367" s="118"/>
    </row>
    <row r="368" spans="3:5" s="117" customFormat="1" x14ac:dyDescent="0.35">
      <c r="C368" s="118"/>
      <c r="D368" s="118"/>
      <c r="E368" s="118"/>
    </row>
    <row r="369" spans="3:5" s="117" customFormat="1" x14ac:dyDescent="0.35">
      <c r="C369" s="118"/>
      <c r="D369" s="118"/>
      <c r="E369" s="118"/>
    </row>
    <row r="370" spans="3:5" s="117" customFormat="1" x14ac:dyDescent="0.35">
      <c r="C370" s="118"/>
      <c r="D370" s="118"/>
      <c r="E370" s="118"/>
    </row>
    <row r="371" spans="3:5" s="117" customFormat="1" x14ac:dyDescent="0.35">
      <c r="C371" s="118"/>
      <c r="D371" s="118"/>
      <c r="E371" s="118"/>
    </row>
    <row r="372" spans="3:5" s="117" customFormat="1" x14ac:dyDescent="0.35">
      <c r="C372" s="118"/>
      <c r="D372" s="118"/>
      <c r="E372" s="118"/>
    </row>
    <row r="373" spans="3:5" s="117" customFormat="1" x14ac:dyDescent="0.35">
      <c r="C373" s="118"/>
      <c r="D373" s="118"/>
      <c r="E373" s="118"/>
    </row>
    <row r="374" spans="3:5" s="117" customFormat="1" x14ac:dyDescent="0.35">
      <c r="C374" s="118"/>
      <c r="D374" s="118"/>
      <c r="E374" s="118"/>
    </row>
    <row r="375" spans="3:5" s="117" customFormat="1" x14ac:dyDescent="0.35">
      <c r="C375" s="118"/>
      <c r="D375" s="118"/>
      <c r="E375" s="118"/>
    </row>
    <row r="376" spans="3:5" s="117" customFormat="1" x14ac:dyDescent="0.35">
      <c r="C376" s="118"/>
      <c r="D376" s="118"/>
      <c r="E376" s="118"/>
    </row>
    <row r="377" spans="3:5" s="117" customFormat="1" x14ac:dyDescent="0.35">
      <c r="C377" s="118"/>
      <c r="D377" s="118"/>
      <c r="E377" s="118"/>
    </row>
    <row r="378" spans="3:5" s="117" customFormat="1" x14ac:dyDescent="0.35">
      <c r="C378" s="118"/>
      <c r="D378" s="118"/>
      <c r="E378" s="118"/>
    </row>
    <row r="379" spans="3:5" s="117" customFormat="1" x14ac:dyDescent="0.35">
      <c r="C379" s="118"/>
      <c r="D379" s="118"/>
      <c r="E379" s="118"/>
    </row>
    <row r="380" spans="3:5" s="117" customFormat="1" x14ac:dyDescent="0.35">
      <c r="C380" s="118"/>
      <c r="D380" s="118"/>
      <c r="E380" s="118"/>
    </row>
    <row r="381" spans="3:5" s="117" customFormat="1" x14ac:dyDescent="0.35">
      <c r="C381" s="118"/>
      <c r="D381" s="118"/>
      <c r="E381" s="118"/>
    </row>
    <row r="382" spans="3:5" s="117" customFormat="1" x14ac:dyDescent="0.35">
      <c r="C382" s="118"/>
      <c r="D382" s="118"/>
      <c r="E382" s="118"/>
    </row>
    <row r="383" spans="3:5" s="117" customFormat="1" x14ac:dyDescent="0.35">
      <c r="C383" s="118"/>
      <c r="D383" s="118"/>
      <c r="E383" s="118"/>
    </row>
    <row r="384" spans="3:5" s="117" customFormat="1" x14ac:dyDescent="0.35">
      <c r="C384" s="118"/>
      <c r="D384" s="118"/>
      <c r="E384" s="118"/>
    </row>
    <row r="385" spans="3:5" s="117" customFormat="1" x14ac:dyDescent="0.35">
      <c r="C385" s="118"/>
      <c r="D385" s="118"/>
      <c r="E385" s="118"/>
    </row>
  </sheetData>
  <mergeCells count="4">
    <mergeCell ref="C11:D11"/>
    <mergeCell ref="C7:D7"/>
    <mergeCell ref="C17:D17"/>
    <mergeCell ref="C14:D14"/>
  </mergeCells>
  <phoneticPr fontId="3" type="noConversion"/>
  <conditionalFormatting sqref="O22">
    <cfRule type="cellIs" dxfId="6" priority="1" operator="lessThan">
      <formula>12</formula>
    </cfRule>
    <cfRule type="cellIs" dxfId="5" priority="2" operator="greaterThan">
      <formula>12</formula>
    </cfRule>
    <cfRule type="cellIs" dxfId="4" priority="3" operator="equal">
      <formula>12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315BD-1B4B-4084-9A3B-D242A9CEF267}">
  <dimension ref="A1:AD156"/>
  <sheetViews>
    <sheetView showGridLines="0" topLeftCell="A38" zoomScale="84" zoomScaleNormal="84" workbookViewId="0">
      <selection activeCell="D33" sqref="D33"/>
    </sheetView>
  </sheetViews>
  <sheetFormatPr defaultColWidth="8.84375" defaultRowHeight="12" x14ac:dyDescent="0.25"/>
  <cols>
    <col min="1" max="1" width="4.3828125" style="118" customWidth="1"/>
    <col min="2" max="2" width="6.3828125" style="56" customWidth="1"/>
    <col min="3" max="3" width="53.84375" style="56" customWidth="1"/>
    <col min="4" max="4" width="19.3828125" style="56" customWidth="1"/>
    <col min="5" max="5" width="19.765625" style="56" customWidth="1"/>
    <col min="6" max="6" width="14" style="31" customWidth="1"/>
    <col min="7" max="7" width="10" style="31" customWidth="1"/>
    <col min="8" max="8" width="8.84375" style="31" customWidth="1"/>
    <col min="9" max="30" width="8.84375" style="118" customWidth="1"/>
    <col min="31" max="34" width="8.84375" style="56" customWidth="1"/>
    <col min="35" max="16384" width="8.84375" style="56"/>
  </cols>
  <sheetData>
    <row r="1" spans="2:8" s="118" customFormat="1" x14ac:dyDescent="0.25"/>
    <row r="2" spans="2:8" x14ac:dyDescent="0.25">
      <c r="B2" s="9"/>
      <c r="C2" s="9"/>
      <c r="D2" s="33"/>
      <c r="E2" s="57"/>
      <c r="F2" s="57"/>
      <c r="G2" s="57"/>
      <c r="H2" s="57"/>
    </row>
    <row r="3" spans="2:8" ht="14.15" customHeight="1" x14ac:dyDescent="0.25">
      <c r="B3" s="9"/>
      <c r="C3" s="9"/>
      <c r="D3" s="33"/>
      <c r="E3" s="95" t="s">
        <v>69</v>
      </c>
      <c r="F3" s="57"/>
      <c r="G3" s="57"/>
      <c r="H3" s="57"/>
    </row>
    <row r="4" spans="2:8" x14ac:dyDescent="0.25">
      <c r="B4" s="9"/>
      <c r="C4" s="33"/>
      <c r="D4" s="57"/>
      <c r="E4" s="57"/>
      <c r="F4" s="57"/>
      <c r="G4" s="57"/>
      <c r="H4" s="57"/>
    </row>
    <row r="5" spans="2:8" ht="17.600000000000001" thickBot="1" x14ac:dyDescent="0.4">
      <c r="B5" s="9"/>
      <c r="C5" s="285" t="s">
        <v>41</v>
      </c>
      <c r="D5" s="36"/>
      <c r="E5" s="36"/>
      <c r="F5" s="36"/>
    </row>
    <row r="6" spans="2:8" x14ac:dyDescent="0.25">
      <c r="B6" s="9"/>
      <c r="C6" s="13"/>
      <c r="D6" s="38"/>
      <c r="E6" s="146"/>
      <c r="F6" s="34"/>
    </row>
    <row r="7" spans="2:8" x14ac:dyDescent="0.25">
      <c r="B7" s="9"/>
      <c r="C7" s="58" t="s">
        <v>100</v>
      </c>
      <c r="D7" s="59">
        <f>Инвестиции!E11</f>
        <v>170</v>
      </c>
      <c r="E7" s="147"/>
      <c r="F7" s="34"/>
    </row>
    <row r="8" spans="2:8" ht="12.45" x14ac:dyDescent="0.25">
      <c r="B8" s="9"/>
      <c r="C8" s="14"/>
      <c r="D8" s="60"/>
      <c r="E8" s="61"/>
      <c r="F8" s="62"/>
    </row>
    <row r="9" spans="2:8" ht="12.45" x14ac:dyDescent="0.25">
      <c r="B9" s="31"/>
      <c r="C9" s="30" t="s">
        <v>62</v>
      </c>
      <c r="D9" s="63" t="s">
        <v>67</v>
      </c>
      <c r="E9" s="63" t="s">
        <v>43</v>
      </c>
      <c r="F9" s="62"/>
      <c r="G9" s="19"/>
    </row>
    <row r="10" spans="2:8" ht="12.45" x14ac:dyDescent="0.3">
      <c r="B10" s="31"/>
      <c r="C10" s="64" t="s">
        <v>26</v>
      </c>
      <c r="D10" s="96">
        <v>2500</v>
      </c>
      <c r="E10" s="65">
        <f>$D$7*D10</f>
        <v>425000</v>
      </c>
      <c r="F10" s="62"/>
      <c r="G10" s="19"/>
    </row>
    <row r="11" spans="2:8" ht="12.45" x14ac:dyDescent="0.3">
      <c r="B11" s="31"/>
      <c r="C11" s="64" t="s">
        <v>42</v>
      </c>
      <c r="D11" s="96">
        <v>525</v>
      </c>
      <c r="E11" s="65">
        <f>$D$7*D11</f>
        <v>89250</v>
      </c>
      <c r="F11" s="62"/>
      <c r="G11" s="19"/>
    </row>
    <row r="12" spans="2:8" x14ac:dyDescent="0.25">
      <c r="B12" s="31"/>
      <c r="C12" s="31"/>
      <c r="D12" s="31"/>
      <c r="E12" s="31"/>
      <c r="F12" s="62"/>
      <c r="G12" s="19"/>
    </row>
    <row r="13" spans="2:8" ht="12.45" x14ac:dyDescent="0.3">
      <c r="B13" s="9"/>
      <c r="C13" s="66" t="s">
        <v>59</v>
      </c>
      <c r="D13" s="63"/>
      <c r="E13" s="67"/>
      <c r="F13" s="62"/>
    </row>
    <row r="14" spans="2:8" ht="12.45" x14ac:dyDescent="0.25">
      <c r="B14" s="9"/>
      <c r="C14" s="64" t="s">
        <v>103</v>
      </c>
      <c r="D14" s="68" t="s">
        <v>133</v>
      </c>
      <c r="E14" s="97">
        <v>3.5000000000000003E-2</v>
      </c>
      <c r="F14" s="62"/>
      <c r="G14" s="19"/>
    </row>
    <row r="15" spans="2:8" ht="12.45" x14ac:dyDescent="0.25">
      <c r="B15" s="9"/>
      <c r="C15" s="64" t="s">
        <v>107</v>
      </c>
      <c r="D15" s="68" t="s">
        <v>132</v>
      </c>
      <c r="E15" s="97">
        <v>0.16</v>
      </c>
      <c r="F15" s="67"/>
      <c r="G15" s="19"/>
    </row>
    <row r="16" spans="2:8" ht="12.45" x14ac:dyDescent="0.25">
      <c r="B16" s="9"/>
      <c r="C16" s="64" t="s">
        <v>61</v>
      </c>
      <c r="D16" s="68" t="s">
        <v>56</v>
      </c>
      <c r="E16" s="97">
        <v>0.115</v>
      </c>
      <c r="F16" s="39"/>
      <c r="G16" s="19"/>
    </row>
    <row r="17" spans="1:7" ht="12.45" x14ac:dyDescent="0.25">
      <c r="B17" s="9"/>
      <c r="C17" s="64" t="s">
        <v>104</v>
      </c>
      <c r="D17" s="68" t="s">
        <v>56</v>
      </c>
      <c r="E17" s="97">
        <v>1.4999999999999999E-2</v>
      </c>
      <c r="F17" s="67"/>
      <c r="G17" s="19"/>
    </row>
    <row r="18" spans="1:7" ht="12.45" x14ac:dyDescent="0.3">
      <c r="B18" s="9"/>
      <c r="C18" s="64" t="s">
        <v>44</v>
      </c>
      <c r="D18" s="69" t="s">
        <v>60</v>
      </c>
      <c r="E18" s="98">
        <v>15000</v>
      </c>
      <c r="F18" s="39"/>
      <c r="G18" s="19"/>
    </row>
    <row r="19" spans="1:7" ht="12.45" x14ac:dyDescent="0.3">
      <c r="B19" s="9"/>
      <c r="C19" s="64" t="s">
        <v>49</v>
      </c>
      <c r="D19" s="69" t="s">
        <v>60</v>
      </c>
      <c r="E19" s="98">
        <v>1500</v>
      </c>
      <c r="F19" s="67"/>
      <c r="G19" s="19"/>
    </row>
    <row r="20" spans="1:7" ht="12.45" x14ac:dyDescent="0.25">
      <c r="B20" s="9"/>
      <c r="C20" s="70" t="s">
        <v>137</v>
      </c>
      <c r="D20" s="68" t="s">
        <v>124</v>
      </c>
      <c r="E20" s="99">
        <v>0.11</v>
      </c>
      <c r="F20" s="39"/>
      <c r="G20" s="19"/>
    </row>
    <row r="21" spans="1:7" x14ac:dyDescent="0.25">
      <c r="B21" s="9"/>
      <c r="C21" s="13"/>
      <c r="D21" s="71"/>
      <c r="E21" s="71"/>
      <c r="F21" s="67"/>
      <c r="G21" s="19"/>
    </row>
    <row r="22" spans="1:7" ht="12.45" x14ac:dyDescent="0.25">
      <c r="B22" s="9"/>
      <c r="C22" s="30" t="s">
        <v>58</v>
      </c>
      <c r="D22" s="63"/>
      <c r="E22" s="63" t="s">
        <v>75</v>
      </c>
      <c r="F22" s="67"/>
      <c r="G22" s="19"/>
    </row>
    <row r="23" spans="1:7" ht="12.45" x14ac:dyDescent="0.25">
      <c r="B23" s="9"/>
      <c r="C23" s="72" t="s">
        <v>77</v>
      </c>
      <c r="D23" s="101">
        <v>1.0999999999999999E-2</v>
      </c>
      <c r="E23" s="100">
        <v>0.17</v>
      </c>
      <c r="F23" s="67"/>
      <c r="G23" s="19"/>
    </row>
    <row r="24" spans="1:7" ht="12.45" x14ac:dyDescent="0.25">
      <c r="B24" s="9"/>
      <c r="C24" s="72" t="s">
        <v>78</v>
      </c>
      <c r="D24" s="101">
        <v>1.4999999999999999E-2</v>
      </c>
      <c r="E24" s="100">
        <v>0.23</v>
      </c>
      <c r="F24" s="67"/>
      <c r="G24" s="19"/>
    </row>
    <row r="25" spans="1:7" ht="12.45" x14ac:dyDescent="0.25">
      <c r="B25" s="9"/>
      <c r="C25" s="72" t="s">
        <v>76</v>
      </c>
      <c r="D25" s="101">
        <v>4.0000000000000001E-3</v>
      </c>
      <c r="E25" s="100">
        <v>0.52</v>
      </c>
      <c r="F25" s="67"/>
      <c r="G25" s="19"/>
    </row>
    <row r="26" spans="1:7" ht="12.45" x14ac:dyDescent="0.25">
      <c r="B26" s="9"/>
      <c r="C26" s="74" t="s">
        <v>115</v>
      </c>
      <c r="D26" s="75">
        <f>AVERAGE(D23*E23,D24*E24,D25*E25)*COUNT(D23:D25)</f>
        <v>7.4000000000000003E-3</v>
      </c>
      <c r="E26" s="73"/>
      <c r="F26" s="67"/>
      <c r="G26" s="19"/>
    </row>
    <row r="27" spans="1:7" ht="6" customHeight="1" x14ac:dyDescent="0.25">
      <c r="A27" s="120"/>
      <c r="B27" s="67"/>
      <c r="C27" s="67"/>
      <c r="D27" s="67"/>
      <c r="E27" s="67"/>
      <c r="F27" s="67"/>
      <c r="G27" s="19"/>
    </row>
    <row r="28" spans="1:7" ht="12.45" x14ac:dyDescent="0.3">
      <c r="B28" s="9"/>
      <c r="C28" s="74" t="s">
        <v>63</v>
      </c>
      <c r="D28" s="102">
        <v>3000</v>
      </c>
      <c r="E28" s="76"/>
      <c r="F28" s="67"/>
      <c r="G28" s="19"/>
    </row>
    <row r="29" spans="1:7" x14ac:dyDescent="0.25">
      <c r="B29" s="9"/>
      <c r="C29" s="13"/>
      <c r="D29" s="71"/>
      <c r="E29" s="71"/>
      <c r="F29" s="67"/>
      <c r="G29" s="19"/>
    </row>
    <row r="30" spans="1:7" ht="12.45" x14ac:dyDescent="0.25">
      <c r="B30" s="9"/>
      <c r="C30" s="30" t="s">
        <v>45</v>
      </c>
      <c r="D30" s="71"/>
      <c r="E30" s="71"/>
      <c r="F30" s="67"/>
      <c r="G30" s="19"/>
    </row>
    <row r="31" spans="1:7" ht="12.45" x14ac:dyDescent="0.3">
      <c r="B31" s="9"/>
      <c r="C31" s="74" t="s">
        <v>47</v>
      </c>
      <c r="D31" s="364" t="s">
        <v>60</v>
      </c>
      <c r="E31" s="98">
        <v>6125</v>
      </c>
      <c r="F31" s="67"/>
      <c r="G31" s="19"/>
    </row>
    <row r="32" spans="1:7" ht="12.45" x14ac:dyDescent="0.3">
      <c r="B32" s="9"/>
      <c r="C32" s="74" t="s">
        <v>73</v>
      </c>
      <c r="D32" s="364" t="s">
        <v>60</v>
      </c>
      <c r="E32" s="98">
        <v>4500</v>
      </c>
      <c r="F32" s="19"/>
      <c r="G32" s="19"/>
    </row>
    <row r="33" spans="2:7" ht="12.45" x14ac:dyDescent="0.3">
      <c r="B33" s="9"/>
      <c r="C33" s="74" t="s">
        <v>48</v>
      </c>
      <c r="D33" s="364" t="s">
        <v>60</v>
      </c>
      <c r="E33" s="98">
        <v>0</v>
      </c>
      <c r="F33" s="19"/>
      <c r="G33" s="19"/>
    </row>
    <row r="34" spans="2:7" ht="12.45" x14ac:dyDescent="0.3">
      <c r="B34" s="9"/>
      <c r="C34" s="74" t="s">
        <v>51</v>
      </c>
      <c r="D34" s="364" t="s">
        <v>60</v>
      </c>
      <c r="E34" s="98">
        <v>4600</v>
      </c>
      <c r="F34" s="9"/>
      <c r="G34" s="10"/>
    </row>
    <row r="35" spans="2:7" ht="12.45" x14ac:dyDescent="0.3">
      <c r="B35" s="9"/>
      <c r="C35" s="74" t="s">
        <v>74</v>
      </c>
      <c r="D35" s="364" t="s">
        <v>60</v>
      </c>
      <c r="E35" s="98">
        <v>8240</v>
      </c>
      <c r="F35" s="19"/>
      <c r="G35" s="19"/>
    </row>
    <row r="36" spans="2:7" ht="12.45" x14ac:dyDescent="0.3">
      <c r="B36" s="9"/>
      <c r="C36" s="74" t="s">
        <v>50</v>
      </c>
      <c r="D36" s="364" t="s">
        <v>60</v>
      </c>
      <c r="E36" s="98">
        <v>3280</v>
      </c>
      <c r="F36" s="19"/>
      <c r="G36" s="19"/>
    </row>
    <row r="37" spans="2:7" ht="12.45" x14ac:dyDescent="0.3">
      <c r="B37" s="9"/>
      <c r="C37" s="74" t="s">
        <v>35</v>
      </c>
      <c r="D37" s="364" t="s">
        <v>60</v>
      </c>
      <c r="E37" s="98">
        <v>50000</v>
      </c>
      <c r="F37" s="19"/>
      <c r="G37" s="19"/>
    </row>
    <row r="38" spans="2:7" ht="12.45" x14ac:dyDescent="0.3">
      <c r="B38" s="9"/>
      <c r="C38" s="74" t="s">
        <v>112</v>
      </c>
      <c r="D38" s="364" t="s">
        <v>60</v>
      </c>
      <c r="E38" s="98">
        <v>6000</v>
      </c>
      <c r="F38" s="19"/>
      <c r="G38" s="19"/>
    </row>
    <row r="39" spans="2:7" ht="12.45" x14ac:dyDescent="0.3">
      <c r="B39" s="9"/>
      <c r="C39" s="74" t="s">
        <v>52</v>
      </c>
      <c r="D39" s="364" t="s">
        <v>60</v>
      </c>
      <c r="E39" s="98">
        <v>29000</v>
      </c>
      <c r="F39" s="19"/>
      <c r="G39" s="19"/>
    </row>
    <row r="40" spans="2:7" ht="12.45" x14ac:dyDescent="0.3">
      <c r="B40" s="9"/>
      <c r="C40" s="74" t="s">
        <v>134</v>
      </c>
      <c r="D40" s="364" t="s">
        <v>60</v>
      </c>
      <c r="E40" s="98">
        <v>2000</v>
      </c>
      <c r="F40" s="19"/>
      <c r="G40" s="19"/>
    </row>
    <row r="41" spans="2:7" x14ac:dyDescent="0.25">
      <c r="B41" s="9"/>
      <c r="C41" s="9"/>
      <c r="D41" s="9"/>
      <c r="E41" s="9"/>
      <c r="F41" s="19"/>
      <c r="G41" s="10"/>
    </row>
    <row r="42" spans="2:7" ht="12.45" x14ac:dyDescent="0.25">
      <c r="B42" s="9"/>
      <c r="C42" s="30" t="s">
        <v>46</v>
      </c>
      <c r="D42" s="9"/>
      <c r="E42" s="9"/>
      <c r="F42" s="19"/>
    </row>
    <row r="43" spans="2:7" ht="12.45" x14ac:dyDescent="0.25">
      <c r="B43" s="9"/>
      <c r="C43" s="77" t="s">
        <v>53</v>
      </c>
      <c r="D43" s="365" t="s">
        <v>56</v>
      </c>
      <c r="E43" s="104">
        <v>0.33</v>
      </c>
      <c r="F43" s="19"/>
    </row>
    <row r="44" spans="2:7" ht="12.45" x14ac:dyDescent="0.25">
      <c r="B44" s="9"/>
      <c r="C44" s="77" t="s">
        <v>57</v>
      </c>
      <c r="D44" s="364" t="s">
        <v>56</v>
      </c>
      <c r="E44" s="103">
        <v>1.8E-3</v>
      </c>
      <c r="F44" s="19"/>
    </row>
    <row r="45" spans="2:7" ht="12.45" x14ac:dyDescent="0.25">
      <c r="B45" s="9"/>
      <c r="C45" s="105" t="s">
        <v>34</v>
      </c>
      <c r="D45" s="364" t="s">
        <v>143</v>
      </c>
      <c r="E45" s="106">
        <v>0.05</v>
      </c>
      <c r="F45" s="19"/>
      <c r="G45" s="19"/>
    </row>
    <row r="46" spans="2:7" x14ac:dyDescent="0.25">
      <c r="B46" s="9"/>
      <c r="C46" s="31"/>
      <c r="D46" s="31"/>
      <c r="E46" s="78"/>
      <c r="F46" s="39"/>
      <c r="G46" s="39"/>
    </row>
    <row r="47" spans="2:7" x14ac:dyDescent="0.25">
      <c r="B47" s="9"/>
      <c r="C47" s="31"/>
      <c r="D47" s="31"/>
      <c r="E47" s="78"/>
      <c r="F47" s="39"/>
      <c r="G47" s="19"/>
    </row>
    <row r="48" spans="2:7" ht="12.45" x14ac:dyDescent="0.25">
      <c r="B48" s="9"/>
      <c r="C48" s="30" t="s">
        <v>136</v>
      </c>
      <c r="D48" s="30"/>
      <c r="E48" s="79"/>
      <c r="G48" s="19"/>
    </row>
    <row r="49" spans="2:7" x14ac:dyDescent="0.25">
      <c r="B49" s="9"/>
      <c r="C49" s="74" t="s">
        <v>39</v>
      </c>
      <c r="D49" s="364" t="s">
        <v>60</v>
      </c>
      <c r="E49" s="80">
        <v>150000</v>
      </c>
      <c r="F49" s="81" t="s">
        <v>40</v>
      </c>
      <c r="G49" s="19"/>
    </row>
    <row r="50" spans="2:7" x14ac:dyDescent="0.25">
      <c r="B50" s="9"/>
      <c r="C50" s="82" t="s">
        <v>38</v>
      </c>
      <c r="D50" s="364" t="s">
        <v>56</v>
      </c>
      <c r="E50" s="83">
        <v>0.06</v>
      </c>
      <c r="G50" s="19"/>
    </row>
    <row r="51" spans="2:7" x14ac:dyDescent="0.25">
      <c r="B51" s="31"/>
      <c r="C51" s="39"/>
      <c r="D51" s="39"/>
      <c r="E51" s="39"/>
      <c r="F51" s="39"/>
    </row>
    <row r="52" spans="2:7" ht="12.45" x14ac:dyDescent="0.25">
      <c r="B52" s="31"/>
      <c r="C52" s="84" t="s">
        <v>102</v>
      </c>
      <c r="D52" s="85"/>
      <c r="E52" s="86"/>
      <c r="F52" s="87"/>
    </row>
    <row r="53" spans="2:7" x14ac:dyDescent="0.25">
      <c r="B53" s="9"/>
      <c r="C53" s="31"/>
      <c r="D53" s="31"/>
      <c r="E53" s="31"/>
      <c r="F53" s="39"/>
      <c r="G53" s="19"/>
    </row>
    <row r="54" spans="2:7" ht="12.45" x14ac:dyDescent="0.25">
      <c r="B54" s="9"/>
      <c r="C54" s="88" t="s">
        <v>20</v>
      </c>
      <c r="D54" s="31"/>
      <c r="E54" s="31"/>
      <c r="G54" s="19"/>
    </row>
    <row r="55" spans="2:7" x14ac:dyDescent="0.25">
      <c r="B55" s="9"/>
      <c r="C55" s="148" t="s">
        <v>113</v>
      </c>
      <c r="D55" s="89">
        <v>4500000</v>
      </c>
      <c r="E55" s="90">
        <v>4500000</v>
      </c>
      <c r="F55" s="90">
        <v>2000000</v>
      </c>
      <c r="G55" s="19"/>
    </row>
    <row r="56" spans="2:7" x14ac:dyDescent="0.25">
      <c r="B56" s="9"/>
      <c r="C56" s="149"/>
      <c r="D56" s="91">
        <v>0.06</v>
      </c>
      <c r="E56" s="92">
        <v>0.04</v>
      </c>
      <c r="F56" s="92">
        <v>0</v>
      </c>
      <c r="G56" s="19"/>
    </row>
    <row r="57" spans="2:7" ht="8.5" customHeight="1" x14ac:dyDescent="0.25">
      <c r="B57" s="9"/>
      <c r="C57" s="88"/>
      <c r="D57" s="93"/>
      <c r="E57" s="93"/>
      <c r="F57" s="93"/>
      <c r="G57" s="19"/>
    </row>
    <row r="58" spans="2:7" ht="12.45" x14ac:dyDescent="0.25">
      <c r="B58" s="9"/>
      <c r="C58" s="88" t="s">
        <v>153</v>
      </c>
      <c r="D58" s="31"/>
      <c r="E58" s="31"/>
      <c r="G58" s="19"/>
    </row>
    <row r="59" spans="2:7" x14ac:dyDescent="0.25">
      <c r="B59" s="9"/>
      <c r="C59" s="148" t="s">
        <v>150</v>
      </c>
      <c r="D59" s="89">
        <v>4500000</v>
      </c>
      <c r="E59" s="90">
        <v>4500000</v>
      </c>
      <c r="F59" s="90" t="s">
        <v>151</v>
      </c>
      <c r="G59" s="19"/>
    </row>
    <row r="60" spans="2:7" x14ac:dyDescent="0.25">
      <c r="B60" s="9"/>
      <c r="C60" s="149"/>
      <c r="D60" s="94">
        <v>1.4999999999999999E-2</v>
      </c>
      <c r="E60" s="92">
        <v>0.01</v>
      </c>
      <c r="F60" s="92">
        <v>0</v>
      </c>
      <c r="G60" s="19"/>
    </row>
    <row r="61" spans="2:7" x14ac:dyDescent="0.25">
      <c r="B61" s="9"/>
      <c r="C61" s="19"/>
      <c r="D61" s="19"/>
      <c r="E61" s="19"/>
      <c r="F61" s="39"/>
      <c r="G61" s="19"/>
    </row>
    <row r="62" spans="2:7" x14ac:dyDescent="0.25">
      <c r="B62" s="9"/>
      <c r="C62" s="19"/>
      <c r="D62" s="19"/>
      <c r="E62" s="19"/>
      <c r="F62" s="19"/>
      <c r="G62" s="19"/>
    </row>
    <row r="63" spans="2:7" x14ac:dyDescent="0.25">
      <c r="B63" s="9"/>
      <c r="C63" s="19"/>
      <c r="D63" s="19"/>
      <c r="E63" s="19"/>
      <c r="F63" s="19"/>
      <c r="G63" s="19"/>
    </row>
    <row r="64" spans="2:7" x14ac:dyDescent="0.25">
      <c r="B64" s="9"/>
      <c r="C64" s="19"/>
      <c r="D64" s="19"/>
      <c r="E64" s="19"/>
      <c r="F64" s="19"/>
      <c r="G64" s="19"/>
    </row>
    <row r="65" spans="2:7" x14ac:dyDescent="0.25">
      <c r="B65" s="9"/>
      <c r="C65" s="10"/>
      <c r="D65" s="10"/>
      <c r="E65" s="31"/>
      <c r="F65" s="39"/>
      <c r="G65" s="19"/>
    </row>
    <row r="66" spans="2:7" x14ac:dyDescent="0.25">
      <c r="B66" s="31"/>
      <c r="C66" s="31"/>
      <c r="D66" s="31"/>
      <c r="E66" s="31"/>
    </row>
    <row r="67" spans="2:7" s="118" customFormat="1" x14ac:dyDescent="0.25"/>
    <row r="68" spans="2:7" s="118" customFormat="1" x14ac:dyDescent="0.25"/>
    <row r="69" spans="2:7" s="118" customFormat="1" x14ac:dyDescent="0.25"/>
    <row r="70" spans="2:7" s="118" customFormat="1" x14ac:dyDescent="0.25"/>
    <row r="71" spans="2:7" s="118" customFormat="1" x14ac:dyDescent="0.25"/>
    <row r="72" spans="2:7" s="118" customFormat="1" x14ac:dyDescent="0.25"/>
    <row r="73" spans="2:7" s="118" customFormat="1" x14ac:dyDescent="0.25"/>
    <row r="74" spans="2:7" s="118" customFormat="1" x14ac:dyDescent="0.25"/>
    <row r="75" spans="2:7" s="118" customFormat="1" x14ac:dyDescent="0.25"/>
    <row r="76" spans="2:7" s="118" customFormat="1" x14ac:dyDescent="0.25"/>
    <row r="77" spans="2:7" s="118" customFormat="1" x14ac:dyDescent="0.25"/>
    <row r="78" spans="2:7" s="118" customFormat="1" x14ac:dyDescent="0.25"/>
    <row r="79" spans="2:7" s="118" customFormat="1" x14ac:dyDescent="0.25"/>
    <row r="80" spans="2:7" s="118" customFormat="1" x14ac:dyDescent="0.25"/>
    <row r="81" s="118" customFormat="1" x14ac:dyDescent="0.25"/>
    <row r="82" s="118" customFormat="1" x14ac:dyDescent="0.25"/>
    <row r="83" s="118" customFormat="1" x14ac:dyDescent="0.25"/>
    <row r="84" s="118" customFormat="1" x14ac:dyDescent="0.25"/>
    <row r="85" s="118" customFormat="1" x14ac:dyDescent="0.25"/>
    <row r="86" s="118" customFormat="1" x14ac:dyDescent="0.25"/>
    <row r="87" s="118" customFormat="1" x14ac:dyDescent="0.25"/>
    <row r="88" s="118" customFormat="1" x14ac:dyDescent="0.25"/>
    <row r="89" s="118" customFormat="1" x14ac:dyDescent="0.25"/>
    <row r="90" s="118" customFormat="1" x14ac:dyDescent="0.25"/>
    <row r="91" s="118" customFormat="1" x14ac:dyDescent="0.25"/>
    <row r="92" s="118" customFormat="1" x14ac:dyDescent="0.25"/>
    <row r="93" s="118" customFormat="1" x14ac:dyDescent="0.25"/>
    <row r="94" s="118" customFormat="1" x14ac:dyDescent="0.25"/>
    <row r="95" s="118" customFormat="1" x14ac:dyDescent="0.25"/>
    <row r="96" s="118" customFormat="1" x14ac:dyDescent="0.25"/>
    <row r="97" s="118" customFormat="1" x14ac:dyDescent="0.25"/>
    <row r="98" s="118" customFormat="1" x14ac:dyDescent="0.25"/>
    <row r="99" s="118" customFormat="1" x14ac:dyDescent="0.25"/>
    <row r="100" s="118" customFormat="1" x14ac:dyDescent="0.25"/>
    <row r="101" s="118" customFormat="1" x14ac:dyDescent="0.25"/>
    <row r="102" s="118" customFormat="1" x14ac:dyDescent="0.25"/>
    <row r="103" s="118" customFormat="1" x14ac:dyDescent="0.25"/>
    <row r="104" s="118" customFormat="1" x14ac:dyDescent="0.25"/>
    <row r="105" s="118" customFormat="1" x14ac:dyDescent="0.25"/>
    <row r="106" s="118" customFormat="1" x14ac:dyDescent="0.25"/>
    <row r="107" s="118" customFormat="1" x14ac:dyDescent="0.25"/>
    <row r="108" s="118" customFormat="1" x14ac:dyDescent="0.25"/>
    <row r="109" s="118" customFormat="1" x14ac:dyDescent="0.25"/>
    <row r="110" s="118" customFormat="1" x14ac:dyDescent="0.25"/>
    <row r="111" s="118" customFormat="1" x14ac:dyDescent="0.25"/>
    <row r="112" s="118" customFormat="1" x14ac:dyDescent="0.25"/>
    <row r="113" s="118" customFormat="1" x14ac:dyDescent="0.25"/>
    <row r="114" s="118" customFormat="1" x14ac:dyDescent="0.25"/>
    <row r="115" s="118" customFormat="1" x14ac:dyDescent="0.25"/>
    <row r="116" s="118" customFormat="1" x14ac:dyDescent="0.25"/>
    <row r="117" s="118" customFormat="1" x14ac:dyDescent="0.25"/>
    <row r="118" s="118" customFormat="1" x14ac:dyDescent="0.25"/>
    <row r="119" s="118" customFormat="1" x14ac:dyDescent="0.25"/>
    <row r="120" s="118" customFormat="1" x14ac:dyDescent="0.25"/>
    <row r="121" s="118" customFormat="1" x14ac:dyDescent="0.25"/>
    <row r="122" s="118" customFormat="1" x14ac:dyDescent="0.25"/>
    <row r="123" s="118" customFormat="1" x14ac:dyDescent="0.25"/>
    <row r="124" s="118" customFormat="1" x14ac:dyDescent="0.25"/>
    <row r="125" s="118" customFormat="1" x14ac:dyDescent="0.25"/>
    <row r="126" s="118" customFormat="1" x14ac:dyDescent="0.25"/>
    <row r="127" s="118" customFormat="1" x14ac:dyDescent="0.25"/>
    <row r="128" s="118" customFormat="1" x14ac:dyDescent="0.25"/>
    <row r="129" s="118" customFormat="1" x14ac:dyDescent="0.25"/>
    <row r="130" s="118" customFormat="1" x14ac:dyDescent="0.25"/>
    <row r="131" s="118" customFormat="1" x14ac:dyDescent="0.25"/>
    <row r="132" s="118" customFormat="1" x14ac:dyDescent="0.25"/>
    <row r="133" s="118" customFormat="1" x14ac:dyDescent="0.25"/>
    <row r="134" s="118" customFormat="1" x14ac:dyDescent="0.25"/>
    <row r="135" s="118" customFormat="1" x14ac:dyDescent="0.25"/>
    <row r="136" s="118" customFormat="1" x14ac:dyDescent="0.25"/>
    <row r="137" s="118" customFormat="1" x14ac:dyDescent="0.25"/>
    <row r="138" s="118" customFormat="1" x14ac:dyDescent="0.25"/>
    <row r="139" s="118" customFormat="1" x14ac:dyDescent="0.25"/>
    <row r="140" s="118" customFormat="1" x14ac:dyDescent="0.25"/>
    <row r="141" s="118" customFormat="1" x14ac:dyDescent="0.25"/>
    <row r="142" s="118" customFormat="1" x14ac:dyDescent="0.25"/>
    <row r="143" s="118" customFormat="1" x14ac:dyDescent="0.25"/>
    <row r="144" s="118" customFormat="1" x14ac:dyDescent="0.25"/>
    <row r="145" s="118" customFormat="1" x14ac:dyDescent="0.25"/>
    <row r="146" s="118" customFormat="1" x14ac:dyDescent="0.25"/>
    <row r="147" s="118" customFormat="1" x14ac:dyDescent="0.25"/>
    <row r="148" s="118" customFormat="1" x14ac:dyDescent="0.25"/>
    <row r="149" s="118" customFormat="1" x14ac:dyDescent="0.25"/>
    <row r="150" s="118" customFormat="1" x14ac:dyDescent="0.25"/>
    <row r="151" s="118" customFormat="1" x14ac:dyDescent="0.25"/>
    <row r="152" s="118" customFormat="1" x14ac:dyDescent="0.25"/>
    <row r="153" s="118" customFormat="1" x14ac:dyDescent="0.25"/>
    <row r="154" s="118" customFormat="1" x14ac:dyDescent="0.25"/>
    <row r="155" s="118" customFormat="1" x14ac:dyDescent="0.25"/>
    <row r="156" s="118" customFormat="1" x14ac:dyDescent="0.25"/>
  </sheetData>
  <mergeCells count="3">
    <mergeCell ref="E6:E7"/>
    <mergeCell ref="C55:C56"/>
    <mergeCell ref="C59:C60"/>
  </mergeCells>
  <hyperlinks>
    <hyperlink ref="F49" r:id="rId1" xr:uid="{E0E6F4CE-1D3E-4F19-AC4D-FCFDCE209F6A}"/>
  </hyperlinks>
  <pageMargins left="0.7" right="0.7" top="0.75" bottom="0.75" header="0.3" footer="0.3"/>
  <pageSetup orientation="portrait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9850-5B3C-45A1-AD76-D967FB20D981}">
  <sheetPr>
    <tabColor theme="0" tint="-0.249977111117893"/>
  </sheetPr>
  <dimension ref="A1:AT227"/>
  <sheetViews>
    <sheetView showGridLines="0" tabSelected="1" zoomScale="62" zoomScaleNormal="62" workbookViewId="0">
      <pane xSplit="5" topLeftCell="R1" activePane="topRight" state="frozen"/>
      <selection pane="topRight" activeCell="AG7" sqref="AG7"/>
    </sheetView>
  </sheetViews>
  <sheetFormatPr defaultColWidth="0" defaultRowHeight="14.6" zeroHeight="1" outlineLevelCol="1" x14ac:dyDescent="0.35"/>
  <cols>
    <col min="1" max="1" width="2.765625" style="117" customWidth="1"/>
    <col min="2" max="2" width="5.765625" style="11" customWidth="1"/>
    <col min="3" max="3" width="42.84375" style="11" customWidth="1"/>
    <col min="4" max="4" width="18.3828125" style="11" customWidth="1"/>
    <col min="5" max="5" width="17.3828125" style="11" customWidth="1"/>
    <col min="6" max="17" width="17.84375" style="11" hidden="1" customWidth="1" outlineLevel="1"/>
    <col min="18" max="18" width="15.3828125" style="11" customWidth="1" collapsed="1"/>
    <col min="19" max="30" width="16.15234375" style="11" hidden="1" customWidth="1" outlineLevel="1"/>
    <col min="31" max="31" width="16.53515625" style="11" customWidth="1" collapsed="1"/>
    <col min="32" max="32" width="15.3828125" style="11" customWidth="1"/>
    <col min="33" max="33" width="15.53515625" style="11" bestFit="1" customWidth="1"/>
    <col min="34" max="35" width="8.53515625" style="11" customWidth="1"/>
    <col min="36" max="46" width="8.53515625" style="117" customWidth="1"/>
    <col min="47" max="16384" width="8.53515625" style="11" hidden="1"/>
  </cols>
  <sheetData>
    <row r="1" spans="3:32" s="117" customFormat="1" x14ac:dyDescent="0.35"/>
    <row r="2" spans="3:32" x14ac:dyDescent="0.35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3:32" ht="15" thickBot="1" x14ac:dyDescent="0.4">
      <c r="C3" s="150" t="s">
        <v>65</v>
      </c>
      <c r="D3" s="151"/>
      <c r="E3" s="8"/>
      <c r="F3" s="152"/>
      <c r="G3" s="152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3:32" ht="15" thickBot="1" x14ac:dyDescent="0.4">
      <c r="C4" s="153" t="s">
        <v>68</v>
      </c>
      <c r="D4" s="154"/>
      <c r="E4" s="8"/>
      <c r="G4" s="152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3:32" x14ac:dyDescent="0.3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3:32" ht="20.5" customHeight="1" thickBot="1" x14ac:dyDescent="0.4">
      <c r="C6" s="155" t="s">
        <v>14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</row>
    <row r="7" spans="3:32" ht="15" thickBot="1" x14ac:dyDescent="0.4">
      <c r="F7" s="156"/>
      <c r="G7" s="8"/>
      <c r="H7" s="8"/>
      <c r="I7" s="8"/>
      <c r="J7" s="8"/>
      <c r="K7" s="8"/>
      <c r="L7" s="13"/>
      <c r="M7" s="13"/>
      <c r="N7" s="13"/>
      <c r="O7" s="13"/>
      <c r="P7" s="13"/>
      <c r="Q7" s="13"/>
      <c r="R7" s="157"/>
      <c r="S7" s="13"/>
      <c r="T7" s="13"/>
      <c r="U7" s="13"/>
      <c r="V7" s="13"/>
      <c r="W7" s="13"/>
      <c r="X7" s="13"/>
      <c r="Y7" s="13"/>
      <c r="Z7" s="13"/>
      <c r="AA7" s="157"/>
      <c r="AB7" s="157"/>
      <c r="AC7" s="157"/>
      <c r="AD7" s="157"/>
      <c r="AE7" s="157"/>
      <c r="AF7" s="157"/>
    </row>
    <row r="8" spans="3:32" x14ac:dyDescent="0.35">
      <c r="C8" s="180" t="s">
        <v>16</v>
      </c>
      <c r="D8" s="181">
        <f>AF23</f>
        <v>169939729.19999999</v>
      </c>
      <c r="F8" s="156"/>
      <c r="G8" s="8"/>
      <c r="H8" s="8"/>
      <c r="I8" s="8"/>
      <c r="K8" s="8"/>
      <c r="L8" s="13"/>
      <c r="M8" s="13"/>
      <c r="N8" s="13"/>
      <c r="O8" s="13"/>
      <c r="P8" s="13"/>
      <c r="Q8" s="13"/>
      <c r="R8" s="157"/>
      <c r="S8" s="13"/>
      <c r="T8" s="13"/>
      <c r="U8" s="13"/>
      <c r="V8" s="13"/>
      <c r="W8" s="13"/>
      <c r="X8" s="13"/>
      <c r="Y8" s="13"/>
      <c r="Z8" s="13"/>
      <c r="AA8" s="157"/>
      <c r="AB8" s="157"/>
      <c r="AC8" s="157"/>
      <c r="AD8" s="157"/>
      <c r="AE8" s="157"/>
      <c r="AF8" s="157"/>
    </row>
    <row r="9" spans="3:32" x14ac:dyDescent="0.35">
      <c r="C9" s="182" t="s">
        <v>17</v>
      </c>
      <c r="D9" s="183">
        <f>AF83</f>
        <v>22190757.833360016</v>
      </c>
      <c r="F9" s="156"/>
      <c r="G9" s="8"/>
      <c r="H9" s="8"/>
      <c r="I9" s="8"/>
      <c r="L9" s="13"/>
      <c r="M9" s="13"/>
      <c r="N9" s="13"/>
      <c r="O9" s="13"/>
      <c r="P9" s="13"/>
      <c r="Q9" s="13"/>
      <c r="R9" s="157"/>
      <c r="S9" s="13"/>
      <c r="T9" s="13"/>
      <c r="U9" s="13"/>
      <c r="V9" s="13"/>
      <c r="W9" s="13"/>
      <c r="X9" s="13"/>
      <c r="Y9" s="13"/>
      <c r="Z9" s="13"/>
      <c r="AA9" s="157"/>
      <c r="AB9" s="157"/>
      <c r="AC9" s="157"/>
      <c r="AD9" s="157"/>
      <c r="AE9" s="157"/>
      <c r="AF9" s="157"/>
    </row>
    <row r="10" spans="3:32" x14ac:dyDescent="0.35">
      <c r="C10" s="182" t="s">
        <v>24</v>
      </c>
      <c r="D10" s="183">
        <f>AVERAGE(F23:Q23,S23:AD23)</f>
        <v>7080822.0500000007</v>
      </c>
      <c r="F10" s="156"/>
      <c r="G10" s="8"/>
      <c r="H10" s="8"/>
      <c r="I10" s="8"/>
      <c r="T10" s="158"/>
      <c r="U10" s="158"/>
      <c r="V10" s="158"/>
      <c r="W10" s="158"/>
      <c r="X10" s="158"/>
      <c r="Y10" s="158"/>
      <c r="Z10" s="158"/>
      <c r="AA10" s="156"/>
      <c r="AB10" s="156"/>
      <c r="AC10" s="156"/>
      <c r="AD10" s="156"/>
      <c r="AE10" s="156"/>
      <c r="AF10" s="156"/>
    </row>
    <row r="11" spans="3:32" x14ac:dyDescent="0.35">
      <c r="C11" s="182" t="s">
        <v>15</v>
      </c>
      <c r="D11" s="183">
        <f>AVERAGE(F81:Q81,S81:AD81)</f>
        <v>924614.90972333401</v>
      </c>
      <c r="F11" s="156"/>
      <c r="G11" s="8"/>
      <c r="H11" s="8"/>
      <c r="I11" s="8"/>
      <c r="T11" s="158"/>
      <c r="U11" s="158"/>
      <c r="V11" s="158"/>
      <c r="W11" s="158"/>
      <c r="X11" s="158"/>
      <c r="Y11" s="158"/>
      <c r="Z11" s="158"/>
      <c r="AA11" s="156"/>
      <c r="AB11" s="156"/>
      <c r="AC11" s="156"/>
      <c r="AD11" s="156"/>
      <c r="AE11" s="156"/>
      <c r="AF11" s="156"/>
    </row>
    <row r="12" spans="3:32" ht="17.5" customHeight="1" thickBot="1" x14ac:dyDescent="0.4">
      <c r="C12" s="184" t="s">
        <v>36</v>
      </c>
      <c r="D12" s="185" t="str">
        <f>COUNTIF(F86:Q86,"&lt;0")+COUNTIF(S86:AD86,"&lt;0")+1&amp;" мес."</f>
        <v>17 мес.</v>
      </c>
      <c r="T12" s="159"/>
      <c r="U12" s="158"/>
      <c r="V12" s="158"/>
      <c r="W12" s="158"/>
      <c r="X12" s="158"/>
      <c r="Y12" s="158"/>
      <c r="Z12" s="158"/>
      <c r="AA12" s="156"/>
      <c r="AB12" s="156"/>
      <c r="AC12" s="156"/>
      <c r="AD12" s="156"/>
      <c r="AE12" s="156"/>
      <c r="AF12" s="156"/>
    </row>
    <row r="13" spans="3:32" ht="15" thickBot="1" x14ac:dyDescent="0.4">
      <c r="F13" s="160"/>
      <c r="T13" s="158"/>
      <c r="U13" s="158"/>
      <c r="V13" s="158"/>
      <c r="W13" s="158"/>
      <c r="X13" s="158"/>
      <c r="Y13" s="158"/>
      <c r="Z13" s="158"/>
      <c r="AA13" s="156"/>
      <c r="AB13" s="156"/>
      <c r="AC13" s="156"/>
      <c r="AD13" s="156"/>
      <c r="AE13" s="156"/>
      <c r="AF13" s="156"/>
    </row>
    <row r="14" spans="3:32" ht="15.9" thickBot="1" x14ac:dyDescent="0.4">
      <c r="C14" s="161" t="s">
        <v>105</v>
      </c>
      <c r="D14" s="162">
        <v>45751</v>
      </c>
      <c r="F14" s="160"/>
      <c r="T14" s="158"/>
      <c r="U14" s="158"/>
      <c r="V14" s="158"/>
      <c r="W14" s="158"/>
      <c r="X14" s="158"/>
      <c r="Y14" s="158"/>
      <c r="Z14" s="158"/>
      <c r="AA14" s="156"/>
      <c r="AB14" s="156"/>
      <c r="AC14" s="156"/>
      <c r="AD14" s="156"/>
      <c r="AE14" s="156"/>
      <c r="AF14" s="156"/>
    </row>
    <row r="15" spans="3:32" ht="16" customHeight="1" thickBot="1" x14ac:dyDescent="0.4">
      <c r="C15" s="163" t="s">
        <v>156</v>
      </c>
      <c r="D15" s="162" t="s">
        <v>138</v>
      </c>
      <c r="E15" s="164">
        <v>0.03</v>
      </c>
      <c r="F15" s="160"/>
      <c r="T15" s="158"/>
      <c r="U15" s="158"/>
      <c r="V15" s="158"/>
      <c r="W15" s="158"/>
      <c r="X15" s="158"/>
      <c r="Y15" s="158"/>
      <c r="Z15" s="158"/>
      <c r="AA15" s="156"/>
      <c r="AB15" s="156"/>
      <c r="AC15" s="156"/>
      <c r="AD15" s="156"/>
      <c r="AE15" s="156"/>
      <c r="AF15" s="156"/>
    </row>
    <row r="16" spans="3:32" x14ac:dyDescent="0.35">
      <c r="F16" s="160"/>
      <c r="T16" s="158"/>
      <c r="U16" s="158"/>
      <c r="V16" s="158"/>
      <c r="W16" s="158"/>
      <c r="X16" s="158"/>
      <c r="Y16" s="158"/>
      <c r="Z16" s="158"/>
      <c r="AA16" s="156"/>
      <c r="AB16" s="156"/>
      <c r="AC16" s="156"/>
      <c r="AD16" s="156"/>
      <c r="AE16" s="156"/>
      <c r="AF16" s="156"/>
    </row>
    <row r="17" spans="1:46" hidden="1" x14ac:dyDescent="0.35">
      <c r="E17" s="165" t="s">
        <v>142</v>
      </c>
      <c r="F17" s="166">
        <v>1</v>
      </c>
      <c r="G17" s="166">
        <v>2</v>
      </c>
      <c r="H17" s="166">
        <v>3</v>
      </c>
      <c r="I17" s="166">
        <v>4</v>
      </c>
      <c r="J17" s="166">
        <v>5</v>
      </c>
      <c r="K17" s="166">
        <v>6</v>
      </c>
      <c r="L17" s="166">
        <v>7</v>
      </c>
      <c r="M17" s="166">
        <v>8</v>
      </c>
      <c r="N17" s="166">
        <v>9</v>
      </c>
      <c r="O17" s="166">
        <v>10</v>
      </c>
      <c r="P17" s="166">
        <v>11</v>
      </c>
      <c r="Q17" s="166">
        <v>12</v>
      </c>
      <c r="S17" s="166">
        <v>13</v>
      </c>
      <c r="T17" s="166">
        <v>14</v>
      </c>
      <c r="U17" s="166">
        <v>15</v>
      </c>
      <c r="V17" s="166">
        <v>16</v>
      </c>
      <c r="W17" s="166">
        <v>17</v>
      </c>
      <c r="X17" s="166">
        <v>18</v>
      </c>
      <c r="Y17" s="166">
        <v>19</v>
      </c>
      <c r="Z17" s="166">
        <v>20</v>
      </c>
      <c r="AA17" s="166">
        <v>21</v>
      </c>
      <c r="AB17" s="166">
        <v>22</v>
      </c>
      <c r="AC17" s="166">
        <v>23</v>
      </c>
      <c r="AD17" s="166">
        <v>24</v>
      </c>
      <c r="AE17" s="156"/>
      <c r="AF17" s="156"/>
    </row>
    <row r="18" spans="1:46" hidden="1" x14ac:dyDescent="0.35">
      <c r="E18" s="165" t="s">
        <v>141</v>
      </c>
      <c r="F18" s="166">
        <f>MONTH(F19)</f>
        <v>4</v>
      </c>
      <c r="G18" s="166">
        <f t="shared" ref="G18:Q18" si="0">MONTH(G19)</f>
        <v>5</v>
      </c>
      <c r="H18" s="166">
        <f t="shared" si="0"/>
        <v>6</v>
      </c>
      <c r="I18" s="166">
        <f t="shared" si="0"/>
        <v>7</v>
      </c>
      <c r="J18" s="166">
        <f t="shared" si="0"/>
        <v>8</v>
      </c>
      <c r="K18" s="166">
        <f t="shared" si="0"/>
        <v>9</v>
      </c>
      <c r="L18" s="166">
        <f t="shared" si="0"/>
        <v>10</v>
      </c>
      <c r="M18" s="166">
        <f t="shared" si="0"/>
        <v>11</v>
      </c>
      <c r="N18" s="166">
        <f t="shared" si="0"/>
        <v>12</v>
      </c>
      <c r="O18" s="166">
        <f t="shared" si="0"/>
        <v>1</v>
      </c>
      <c r="P18" s="166">
        <f t="shared" si="0"/>
        <v>2</v>
      </c>
      <c r="Q18" s="166">
        <f t="shared" si="0"/>
        <v>3</v>
      </c>
      <c r="R18" s="167"/>
      <c r="S18" s="166">
        <f>MONTH(S19)</f>
        <v>4</v>
      </c>
      <c r="T18" s="166">
        <f t="shared" ref="T18:AD18" si="1">MONTH(T19)</f>
        <v>5</v>
      </c>
      <c r="U18" s="166">
        <f t="shared" si="1"/>
        <v>6</v>
      </c>
      <c r="V18" s="166">
        <f t="shared" si="1"/>
        <v>7</v>
      </c>
      <c r="W18" s="166">
        <f t="shared" si="1"/>
        <v>8</v>
      </c>
      <c r="X18" s="166">
        <f t="shared" si="1"/>
        <v>9</v>
      </c>
      <c r="Y18" s="166">
        <f t="shared" si="1"/>
        <v>10</v>
      </c>
      <c r="Z18" s="166">
        <f t="shared" si="1"/>
        <v>11</v>
      </c>
      <c r="AA18" s="166">
        <f t="shared" si="1"/>
        <v>12</v>
      </c>
      <c r="AB18" s="166">
        <f t="shared" si="1"/>
        <v>1</v>
      </c>
      <c r="AC18" s="166">
        <f t="shared" si="1"/>
        <v>2</v>
      </c>
      <c r="AD18" s="166">
        <f t="shared" si="1"/>
        <v>3</v>
      </c>
      <c r="AE18" s="156"/>
      <c r="AF18" s="156"/>
    </row>
    <row r="19" spans="1:46" s="31" customFormat="1" ht="12.45" x14ac:dyDescent="0.3">
      <c r="A19" s="118"/>
      <c r="C19" s="13"/>
      <c r="D19" s="38"/>
      <c r="E19" s="168"/>
      <c r="F19" s="274">
        <f>D14</f>
        <v>45751</v>
      </c>
      <c r="G19" s="275">
        <f>F19+31</f>
        <v>45782</v>
      </c>
      <c r="H19" s="275">
        <f t="shared" ref="H19:Q19" si="2">G19+31</f>
        <v>45813</v>
      </c>
      <c r="I19" s="275">
        <f t="shared" si="2"/>
        <v>45844</v>
      </c>
      <c r="J19" s="275">
        <f t="shared" si="2"/>
        <v>45875</v>
      </c>
      <c r="K19" s="275">
        <f t="shared" si="2"/>
        <v>45906</v>
      </c>
      <c r="L19" s="275">
        <f>K19+31</f>
        <v>45937</v>
      </c>
      <c r="M19" s="275">
        <f t="shared" si="2"/>
        <v>45968</v>
      </c>
      <c r="N19" s="275">
        <f t="shared" si="2"/>
        <v>45999</v>
      </c>
      <c r="O19" s="275">
        <f t="shared" si="2"/>
        <v>46030</v>
      </c>
      <c r="P19" s="275">
        <f t="shared" si="2"/>
        <v>46061</v>
      </c>
      <c r="Q19" s="275">
        <f t="shared" si="2"/>
        <v>46092</v>
      </c>
      <c r="R19" s="276" t="s">
        <v>5</v>
      </c>
      <c r="S19" s="277">
        <f>Q19+31</f>
        <v>46123</v>
      </c>
      <c r="T19" s="278">
        <f>+S19+31</f>
        <v>46154</v>
      </c>
      <c r="U19" s="278">
        <f t="shared" ref="U19:AD19" si="3">+T19+31</f>
        <v>46185</v>
      </c>
      <c r="V19" s="278">
        <f t="shared" si="3"/>
        <v>46216</v>
      </c>
      <c r="W19" s="278">
        <f t="shared" si="3"/>
        <v>46247</v>
      </c>
      <c r="X19" s="278">
        <f t="shared" si="3"/>
        <v>46278</v>
      </c>
      <c r="Y19" s="278">
        <f t="shared" si="3"/>
        <v>46309</v>
      </c>
      <c r="Z19" s="278">
        <f t="shared" si="3"/>
        <v>46340</v>
      </c>
      <c r="AA19" s="278">
        <f t="shared" si="3"/>
        <v>46371</v>
      </c>
      <c r="AB19" s="278">
        <f t="shared" si="3"/>
        <v>46402</v>
      </c>
      <c r="AC19" s="278">
        <f t="shared" si="3"/>
        <v>46433</v>
      </c>
      <c r="AD19" s="279">
        <f t="shared" si="3"/>
        <v>46464</v>
      </c>
      <c r="AE19" s="276" t="s">
        <v>27</v>
      </c>
      <c r="AF19" s="276" t="s">
        <v>28</v>
      </c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</row>
    <row r="20" spans="1:46" s="19" customFormat="1" ht="12" x14ac:dyDescent="0.25">
      <c r="A20" s="169"/>
      <c r="C20" s="170"/>
      <c r="D20" s="171"/>
      <c r="E20" s="172" t="s">
        <v>149</v>
      </c>
      <c r="F20" s="280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2"/>
      <c r="R20" s="283"/>
      <c r="S20" s="284">
        <f>INDEX(Выручка!$C$22:$N$22,MATCH(S18,Выручка!$C$20:$N$20,0))</f>
        <v>1.1000000000000001</v>
      </c>
      <c r="T20" s="284">
        <f>INDEX(Выручка!$C$22:$N$22,MATCH(T18,Выручка!$C$20:$N$20,0))</f>
        <v>1</v>
      </c>
      <c r="U20" s="284">
        <f>INDEX(Выручка!$C$22:$N$22,MATCH(U18,Выручка!$C$20:$N$20,0))</f>
        <v>0.9</v>
      </c>
      <c r="V20" s="284">
        <f>INDEX(Выручка!$C$22:$N$22,MATCH(V18,Выручка!$C$20:$N$20,0))</f>
        <v>0.9</v>
      </c>
      <c r="W20" s="284">
        <f>INDEX(Выручка!$C$22:$N$22,MATCH(W18,Выручка!$C$20:$N$20,0))</f>
        <v>0.9</v>
      </c>
      <c r="X20" s="284">
        <f>INDEX(Выручка!$C$22:$N$22,MATCH(X18,Выручка!$C$20:$N$20,0))</f>
        <v>1.1000000000000001</v>
      </c>
      <c r="Y20" s="284">
        <f>INDEX(Выручка!$C$22:$N$22,MATCH(Y18,Выручка!$C$20:$N$20,0))</f>
        <v>1.1000000000000001</v>
      </c>
      <c r="Z20" s="284">
        <f>INDEX(Выручка!$C$22:$N$22,MATCH(Z18,Выручка!$C$20:$N$20,0))</f>
        <v>1</v>
      </c>
      <c r="AA20" s="284">
        <f>INDEX(Выручка!$C$22:$N$22,MATCH(AA18,Выручка!$C$20:$N$20,0))</f>
        <v>1.1000000000000001</v>
      </c>
      <c r="AB20" s="284">
        <f>INDEX(Выручка!$C$22:$N$22,MATCH(AB18,Выручка!$C$20:$N$20,0))</f>
        <v>0.9</v>
      </c>
      <c r="AC20" s="284">
        <f>INDEX(Выручка!$C$22:$N$22,MATCH(AC18,Выручка!$C$20:$N$20,0))</f>
        <v>1</v>
      </c>
      <c r="AD20" s="284">
        <f>INDEX(Выручка!$C$22:$N$22,MATCH(AD18,Выручка!$C$20:$N$20,0))</f>
        <v>1</v>
      </c>
      <c r="AE20" s="283"/>
      <c r="AF20" s="283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</row>
    <row r="21" spans="1:46" x14ac:dyDescent="0.35">
      <c r="C21" s="173"/>
      <c r="D21" s="172"/>
      <c r="E21" s="172" t="s">
        <v>148</v>
      </c>
      <c r="F21" s="174">
        <v>0.4</v>
      </c>
      <c r="G21" s="174">
        <v>0.44</v>
      </c>
      <c r="H21" s="174">
        <v>0.48</v>
      </c>
      <c r="I21" s="174">
        <v>0.52</v>
      </c>
      <c r="J21" s="174">
        <v>0.56000000000000005</v>
      </c>
      <c r="K21" s="174">
        <v>0.6</v>
      </c>
      <c r="L21" s="174">
        <v>0.64</v>
      </c>
      <c r="M21" s="174">
        <v>0.68</v>
      </c>
      <c r="N21" s="174">
        <v>0.72</v>
      </c>
      <c r="O21" s="174">
        <v>0.75</v>
      </c>
      <c r="P21" s="174">
        <v>0.76</v>
      </c>
      <c r="Q21" s="174">
        <v>0.78</v>
      </c>
      <c r="R21" s="175"/>
      <c r="S21" s="174">
        <v>0.82</v>
      </c>
      <c r="T21" s="174">
        <v>0.82</v>
      </c>
      <c r="U21" s="174">
        <v>0.83</v>
      </c>
      <c r="V21" s="174">
        <v>0.84</v>
      </c>
      <c r="W21" s="174">
        <v>0.85</v>
      </c>
      <c r="X21" s="174">
        <v>0.86</v>
      </c>
      <c r="Y21" s="174">
        <v>0.87</v>
      </c>
      <c r="Z21" s="174">
        <v>0.88</v>
      </c>
      <c r="AA21" s="174">
        <v>0.88</v>
      </c>
      <c r="AB21" s="174">
        <v>0.89</v>
      </c>
      <c r="AC21" s="174">
        <v>0.9</v>
      </c>
      <c r="AD21" s="174">
        <v>0.91</v>
      </c>
      <c r="AE21" s="175"/>
      <c r="AF21" s="176"/>
    </row>
    <row r="22" spans="1:46" x14ac:dyDescent="0.35">
      <c r="C22" s="186"/>
      <c r="D22" s="186"/>
      <c r="E22" s="187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9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9"/>
      <c r="AF22" s="189"/>
    </row>
    <row r="23" spans="1:46" ht="15" thickBot="1" x14ac:dyDescent="0.4">
      <c r="C23" s="190" t="s">
        <v>6</v>
      </c>
      <c r="D23" s="190"/>
      <c r="E23" s="191"/>
      <c r="F23" s="192">
        <f>SUM(F26:F28)</f>
        <v>3778000</v>
      </c>
      <c r="G23" s="192">
        <f t="shared" ref="G23:Q23" si="4">SUM(G26:G28)</f>
        <v>4155800</v>
      </c>
      <c r="H23" s="192">
        <f>SUM(H26:H28)</f>
        <v>4533600</v>
      </c>
      <c r="I23" s="192">
        <f t="shared" si="4"/>
        <v>4911400</v>
      </c>
      <c r="J23" s="192">
        <f t="shared" si="4"/>
        <v>5289200</v>
      </c>
      <c r="K23" s="192">
        <f t="shared" si="4"/>
        <v>5667000</v>
      </c>
      <c r="L23" s="192">
        <f>SUM(L26:L28)</f>
        <v>6044800</v>
      </c>
      <c r="M23" s="192">
        <f t="shared" si="4"/>
        <v>6422600</v>
      </c>
      <c r="N23" s="192">
        <f t="shared" si="4"/>
        <v>6800400</v>
      </c>
      <c r="O23" s="192">
        <f t="shared" si="4"/>
        <v>7083750</v>
      </c>
      <c r="P23" s="192">
        <f>SUM(P26:P28)</f>
        <v>7178200</v>
      </c>
      <c r="Q23" s="192">
        <f t="shared" si="4"/>
        <v>7367100</v>
      </c>
      <c r="R23" s="193">
        <f>SUM(F23:Q23)</f>
        <v>69231850</v>
      </c>
      <c r="S23" s="192">
        <f>SUM(S26:S28)</f>
        <v>8774971.6999999993</v>
      </c>
      <c r="T23" s="192">
        <f t="shared" ref="T23:AD23" si="5">SUM(T26:T28)</f>
        <v>7977247</v>
      </c>
      <c r="U23" s="192">
        <f t="shared" si="5"/>
        <v>7267077.4500000002</v>
      </c>
      <c r="V23" s="192">
        <f t="shared" si="5"/>
        <v>7354632.5999999996</v>
      </c>
      <c r="W23" s="192">
        <f t="shared" si="5"/>
        <v>7442187.75</v>
      </c>
      <c r="X23" s="192">
        <f t="shared" si="5"/>
        <v>9203019.1000000015</v>
      </c>
      <c r="Y23" s="192">
        <f t="shared" si="5"/>
        <v>9310030.9500000011</v>
      </c>
      <c r="Z23" s="192">
        <f t="shared" si="5"/>
        <v>8560948</v>
      </c>
      <c r="AA23" s="192">
        <f t="shared" si="5"/>
        <v>9417042.8000000007</v>
      </c>
      <c r="AB23" s="192">
        <f t="shared" si="5"/>
        <v>7792408.3499999996</v>
      </c>
      <c r="AC23" s="192">
        <f t="shared" si="5"/>
        <v>8755515</v>
      </c>
      <c r="AD23" s="192">
        <f t="shared" si="5"/>
        <v>8852798.5</v>
      </c>
      <c r="AE23" s="193">
        <f>SUM(S23:AD23)</f>
        <v>100707879.2</v>
      </c>
      <c r="AF23" s="193">
        <f>R23+AE23</f>
        <v>169939729.19999999</v>
      </c>
    </row>
    <row r="24" spans="1:46" ht="8.5" customHeight="1" x14ac:dyDescent="0.35">
      <c r="C24" s="194"/>
      <c r="D24" s="194"/>
      <c r="E24" s="195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7"/>
      <c r="AF24" s="197"/>
    </row>
    <row r="25" spans="1:46" x14ac:dyDescent="0.35">
      <c r="C25" s="194" t="s">
        <v>18</v>
      </c>
      <c r="D25" s="198" t="s">
        <v>144</v>
      </c>
      <c r="E25" s="198" t="s">
        <v>145</v>
      </c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7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7"/>
      <c r="AF25" s="197"/>
    </row>
    <row r="26" spans="1:46" x14ac:dyDescent="0.35">
      <c r="C26" s="200" t="s">
        <v>83</v>
      </c>
      <c r="D26" s="201">
        <f>+Выручка!E10</f>
        <v>1700</v>
      </c>
      <c r="E26" s="202">
        <f>+Выручка!E11</f>
        <v>850</v>
      </c>
      <c r="F26" s="203">
        <f>+$D$26*$E$26*F21</f>
        <v>578000</v>
      </c>
      <c r="G26" s="203">
        <f t="shared" ref="G26:Q26" si="6">+$D$26*$E$26*G21</f>
        <v>635800</v>
      </c>
      <c r="H26" s="203">
        <f t="shared" si="6"/>
        <v>693600</v>
      </c>
      <c r="I26" s="203">
        <f t="shared" si="6"/>
        <v>751400</v>
      </c>
      <c r="J26" s="203">
        <f t="shared" si="6"/>
        <v>809200.00000000012</v>
      </c>
      <c r="K26" s="203">
        <f t="shared" si="6"/>
        <v>867000</v>
      </c>
      <c r="L26" s="203">
        <f t="shared" si="6"/>
        <v>924800</v>
      </c>
      <c r="M26" s="203">
        <f t="shared" si="6"/>
        <v>982600.00000000012</v>
      </c>
      <c r="N26" s="203">
        <f t="shared" si="6"/>
        <v>1040400</v>
      </c>
      <c r="O26" s="203">
        <f t="shared" si="6"/>
        <v>1083750</v>
      </c>
      <c r="P26" s="203">
        <f t="shared" si="6"/>
        <v>1098200</v>
      </c>
      <c r="Q26" s="203">
        <f t="shared" si="6"/>
        <v>1127100</v>
      </c>
      <c r="R26" s="204">
        <f>SUM(F26:Q26)</f>
        <v>10591850</v>
      </c>
      <c r="S26" s="203">
        <f>IF($D$15="нет",$D$26*$E$26*S20*S21,$D$26*$E$26*S20*S21*(1+$E$15))</f>
        <v>1342491.7</v>
      </c>
      <c r="T26" s="203">
        <f t="shared" ref="T26:AD26" si="7">IF($D$15="нет",$D$26*$E$26*T20*T21,$D$26*$E$26*T20*T21*(1+$E$15))</f>
        <v>1220447</v>
      </c>
      <c r="U26" s="203">
        <f t="shared" si="7"/>
        <v>1111797.45</v>
      </c>
      <c r="V26" s="203">
        <f>IF($D$15="нет",$D$26*$E$26*V20*V21,$D$26*$E$26*V20*V21*(1+$E$15))</f>
        <v>1125192.6000000001</v>
      </c>
      <c r="W26" s="203">
        <f t="shared" si="7"/>
        <v>1138587.75</v>
      </c>
      <c r="X26" s="203">
        <f t="shared" si="7"/>
        <v>1407979.1000000003</v>
      </c>
      <c r="Y26" s="203">
        <f t="shared" si="7"/>
        <v>1424350.9500000002</v>
      </c>
      <c r="Z26" s="203">
        <f t="shared" si="7"/>
        <v>1309748</v>
      </c>
      <c r="AA26" s="203">
        <f t="shared" si="7"/>
        <v>1440722.8000000003</v>
      </c>
      <c r="AB26" s="203">
        <f t="shared" si="7"/>
        <v>1192168.3500000001</v>
      </c>
      <c r="AC26" s="203">
        <f t="shared" si="7"/>
        <v>1339515</v>
      </c>
      <c r="AD26" s="203">
        <f t="shared" si="7"/>
        <v>1354398.5</v>
      </c>
      <c r="AE26" s="204">
        <f>SUM(S26:AD26)</f>
        <v>15407399.200000001</v>
      </c>
      <c r="AF26" s="204">
        <f>SUM(AE26,R26)</f>
        <v>25999249.200000003</v>
      </c>
    </row>
    <row r="27" spans="1:46" x14ac:dyDescent="0.35">
      <c r="C27" s="200" t="s">
        <v>126</v>
      </c>
      <c r="D27" s="201">
        <f>Выручка!E13</f>
        <v>1600</v>
      </c>
      <c r="E27" s="202">
        <f>Выручка!E14</f>
        <v>1250</v>
      </c>
      <c r="F27" s="203">
        <f>+$D$27*$E$27*F21</f>
        <v>800000</v>
      </c>
      <c r="G27" s="203">
        <f t="shared" ref="G27:Q27" si="8">+$D$27*$E$27*G21</f>
        <v>880000</v>
      </c>
      <c r="H27" s="203">
        <f t="shared" si="8"/>
        <v>960000</v>
      </c>
      <c r="I27" s="203">
        <f t="shared" si="8"/>
        <v>1040000</v>
      </c>
      <c r="J27" s="203">
        <f t="shared" si="8"/>
        <v>1120000</v>
      </c>
      <c r="K27" s="203">
        <f t="shared" si="8"/>
        <v>1200000</v>
      </c>
      <c r="L27" s="203">
        <f t="shared" si="8"/>
        <v>1280000</v>
      </c>
      <c r="M27" s="203">
        <f t="shared" si="8"/>
        <v>1360000</v>
      </c>
      <c r="N27" s="203">
        <f t="shared" si="8"/>
        <v>1440000</v>
      </c>
      <c r="O27" s="203">
        <f t="shared" si="8"/>
        <v>1500000</v>
      </c>
      <c r="P27" s="203">
        <f t="shared" si="8"/>
        <v>1520000</v>
      </c>
      <c r="Q27" s="203">
        <f t="shared" si="8"/>
        <v>1560000</v>
      </c>
      <c r="R27" s="204">
        <f>SUM(F27:Q27)</f>
        <v>14660000</v>
      </c>
      <c r="S27" s="203">
        <f>IF($D$15="нет",$D$27*$E$27*S20*S21,$D$27*$E$27*S20*S21*(1+$E$15))</f>
        <v>1858120</v>
      </c>
      <c r="T27" s="203">
        <f t="shared" ref="T27:AD27" si="9">IF($D$15="нет",$D$27*$E$27*T20*T21,$D$27*$E$27*T20*T21*(1+$E$15))</f>
        <v>1689200</v>
      </c>
      <c r="U27" s="203">
        <f t="shared" si="9"/>
        <v>1538820</v>
      </c>
      <c r="V27" s="203">
        <f t="shared" si="9"/>
        <v>1557360</v>
      </c>
      <c r="W27" s="203">
        <f t="shared" si="9"/>
        <v>1575900</v>
      </c>
      <c r="X27" s="203">
        <f t="shared" si="9"/>
        <v>1948760</v>
      </c>
      <c r="Y27" s="203">
        <f t="shared" si="9"/>
        <v>1971420</v>
      </c>
      <c r="Z27" s="203">
        <f t="shared" si="9"/>
        <v>1812800</v>
      </c>
      <c r="AA27" s="203">
        <f t="shared" si="9"/>
        <v>1994080</v>
      </c>
      <c r="AB27" s="203">
        <f t="shared" si="9"/>
        <v>1650060</v>
      </c>
      <c r="AC27" s="203">
        <f t="shared" si="9"/>
        <v>1854000</v>
      </c>
      <c r="AD27" s="203">
        <f t="shared" si="9"/>
        <v>1874600</v>
      </c>
      <c r="AE27" s="204">
        <f>SUM(S27:AD27)</f>
        <v>21325120</v>
      </c>
      <c r="AF27" s="204">
        <f>SUM(AE27,R27)</f>
        <v>35985120</v>
      </c>
    </row>
    <row r="28" spans="1:46" x14ac:dyDescent="0.35">
      <c r="C28" s="200" t="s">
        <v>146</v>
      </c>
      <c r="D28" s="201">
        <f>+Выручка!E16</f>
        <v>2500</v>
      </c>
      <c r="E28" s="202">
        <f>+Выручка!E17</f>
        <v>2400</v>
      </c>
      <c r="F28" s="203">
        <f>+$D$28*$E$28*F21</f>
        <v>2400000</v>
      </c>
      <c r="G28" s="203">
        <f>+$D$28*$E$28*G21</f>
        <v>2640000</v>
      </c>
      <c r="H28" s="203">
        <f>+$D$28*$E$28*H21</f>
        <v>2880000</v>
      </c>
      <c r="I28" s="203">
        <f t="shared" ref="I28:Q28" si="10">+$D$28*$E$28*I21</f>
        <v>3120000</v>
      </c>
      <c r="J28" s="203">
        <f t="shared" si="10"/>
        <v>3360000.0000000005</v>
      </c>
      <c r="K28" s="203">
        <f t="shared" si="10"/>
        <v>3600000</v>
      </c>
      <c r="L28" s="203">
        <f t="shared" si="10"/>
        <v>3840000</v>
      </c>
      <c r="M28" s="203">
        <f t="shared" si="10"/>
        <v>4080000.0000000005</v>
      </c>
      <c r="N28" s="203">
        <f t="shared" si="10"/>
        <v>4320000</v>
      </c>
      <c r="O28" s="203">
        <f t="shared" si="10"/>
        <v>4500000</v>
      </c>
      <c r="P28" s="203">
        <f t="shared" si="10"/>
        <v>4560000</v>
      </c>
      <c r="Q28" s="203">
        <f t="shared" si="10"/>
        <v>4680000</v>
      </c>
      <c r="R28" s="204">
        <f>SUM(F28:Q28)</f>
        <v>43980000</v>
      </c>
      <c r="S28" s="203">
        <f>IF($D$15="Нет",$D$28*$E$28*S20*S21,$D$28*$E$28*S20*S21*(1+$E$15))</f>
        <v>5574360</v>
      </c>
      <c r="T28" s="203">
        <f t="shared" ref="T28:AD28" si="11">IF($D$15="Нет",$D$28*$E$28*T20*T21,$D$28*$E$28*T20*T21*(1+$E$15))</f>
        <v>5067600</v>
      </c>
      <c r="U28" s="203">
        <f t="shared" si="11"/>
        <v>4616460</v>
      </c>
      <c r="V28" s="203">
        <f t="shared" si="11"/>
        <v>4672080</v>
      </c>
      <c r="W28" s="203">
        <f t="shared" si="11"/>
        <v>4727700</v>
      </c>
      <c r="X28" s="203">
        <f t="shared" si="11"/>
        <v>5846280.0000000009</v>
      </c>
      <c r="Y28" s="203">
        <f t="shared" si="11"/>
        <v>5914260.0000000009</v>
      </c>
      <c r="Z28" s="203">
        <f t="shared" si="11"/>
        <v>5438400</v>
      </c>
      <c r="AA28" s="203">
        <f t="shared" si="11"/>
        <v>5982240.0000000009</v>
      </c>
      <c r="AB28" s="203">
        <f t="shared" si="11"/>
        <v>4950180</v>
      </c>
      <c r="AC28" s="203">
        <f t="shared" si="11"/>
        <v>5562000</v>
      </c>
      <c r="AD28" s="203">
        <f t="shared" si="11"/>
        <v>5623800</v>
      </c>
      <c r="AE28" s="204">
        <f>SUM(S28:AD28)</f>
        <v>63975360</v>
      </c>
      <c r="AF28" s="204">
        <f>SUM(AE28,R28)</f>
        <v>107955360</v>
      </c>
    </row>
    <row r="29" spans="1:46" x14ac:dyDescent="0.35">
      <c r="C29" s="205"/>
      <c r="D29" s="206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4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4"/>
      <c r="AF29" s="204"/>
    </row>
    <row r="30" spans="1:46" ht="15" thickBot="1" x14ac:dyDescent="0.4">
      <c r="C30" s="190" t="s">
        <v>7</v>
      </c>
      <c r="D30" s="190"/>
      <c r="E30" s="209"/>
      <c r="F30" s="192">
        <f t="shared" ref="F30:L30" si="12">SUBTOTAL(9,F31:F73)</f>
        <v>3352192.64</v>
      </c>
      <c r="G30" s="192">
        <f>SUBTOTAL(9,G31:G73)</f>
        <v>3664220.4099999997</v>
      </c>
      <c r="H30" s="192">
        <f t="shared" si="12"/>
        <v>4051808.1950000003</v>
      </c>
      <c r="I30" s="192">
        <f t="shared" si="12"/>
        <v>4335500.9549999991</v>
      </c>
      <c r="J30" s="192">
        <f t="shared" si="12"/>
        <v>4619193.7149999989</v>
      </c>
      <c r="K30" s="192">
        <f t="shared" si="12"/>
        <v>4902886.4749999987</v>
      </c>
      <c r="L30" s="192">
        <f t="shared" si="12"/>
        <v>5186579.2349999985</v>
      </c>
      <c r="M30" s="192">
        <f>SUBTOTAL(9,M31:M71)</f>
        <v>5470271.9349999996</v>
      </c>
      <c r="N30" s="192">
        <f>SUBTOTAL(9,N31:N71)</f>
        <v>5753964.6949999994</v>
      </c>
      <c r="O30" s="192">
        <f>SUBTOTAL(9,O31:O73)</f>
        <v>5966734.3249999993</v>
      </c>
      <c r="P30" s="192">
        <f>SUBTOTAL(9,P31:P73)</f>
        <v>6037657.5149999987</v>
      </c>
      <c r="Q30" s="192">
        <f>SUBTOTAL(9,Q31:Q73)</f>
        <v>6179503.8949999996</v>
      </c>
      <c r="R30" s="193">
        <f>SUM(F30:Q30)</f>
        <v>59520513.989999995</v>
      </c>
      <c r="S30" s="192">
        <f t="shared" ref="S30:AD30" si="13">SUBTOTAL(9,S31:S73)</f>
        <v>7236684.9651399981</v>
      </c>
      <c r="T30" s="192">
        <f t="shared" si="13"/>
        <v>6637667.7023999989</v>
      </c>
      <c r="U30" s="192">
        <f t="shared" si="13"/>
        <v>6104396.2367899995</v>
      </c>
      <c r="V30" s="192">
        <f t="shared" si="13"/>
        <v>6170142.0339199994</v>
      </c>
      <c r="W30" s="192">
        <f t="shared" si="13"/>
        <v>6235887.8310499992</v>
      </c>
      <c r="X30" s="192">
        <f t="shared" si="13"/>
        <v>7558108.8622200005</v>
      </c>
      <c r="Y30" s="192">
        <f t="shared" si="13"/>
        <v>7638464.8364900006</v>
      </c>
      <c r="Z30" s="192">
        <f t="shared" si="13"/>
        <v>7075973.0165999988</v>
      </c>
      <c r="AA30" s="192">
        <f t="shared" si="13"/>
        <v>7718820.8107600007</v>
      </c>
      <c r="AB30" s="192">
        <f t="shared" si="13"/>
        <v>6498871.0195699986</v>
      </c>
      <c r="AC30" s="192">
        <f t="shared" si="13"/>
        <v>7222074.7879999988</v>
      </c>
      <c r="AD30" s="192">
        <f t="shared" si="13"/>
        <v>7295125.6736999992</v>
      </c>
      <c r="AE30" s="193">
        <f>SUM(S30:AD30)</f>
        <v>83392217.776639998</v>
      </c>
      <c r="AF30" s="193">
        <f>+R30+AE30</f>
        <v>142912731.76664001</v>
      </c>
    </row>
    <row r="31" spans="1:46" x14ac:dyDescent="0.35">
      <c r="C31" s="210"/>
      <c r="D31" s="210"/>
      <c r="E31" s="211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3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3"/>
      <c r="AF31" s="213"/>
    </row>
    <row r="32" spans="1:46" x14ac:dyDescent="0.35">
      <c r="C32" s="210" t="str">
        <f>Расходы!C43</f>
        <v>Фудкост</v>
      </c>
      <c r="D32" s="210"/>
      <c r="E32" s="214">
        <f>Расходы!E43</f>
        <v>0.33</v>
      </c>
      <c r="F32" s="212">
        <f t="shared" ref="F32:AE32" si="14">$E$32*F23</f>
        <v>1246740</v>
      </c>
      <c r="G32" s="212">
        <f t="shared" si="14"/>
        <v>1371414</v>
      </c>
      <c r="H32" s="212">
        <f t="shared" si="14"/>
        <v>1496088</v>
      </c>
      <c r="I32" s="212">
        <f t="shared" si="14"/>
        <v>1620762</v>
      </c>
      <c r="J32" s="212">
        <f t="shared" si="14"/>
        <v>1745436</v>
      </c>
      <c r="K32" s="212">
        <f t="shared" si="14"/>
        <v>1870110</v>
      </c>
      <c r="L32" s="212">
        <f t="shared" si="14"/>
        <v>1994784</v>
      </c>
      <c r="M32" s="212">
        <f t="shared" si="14"/>
        <v>2119458</v>
      </c>
      <c r="N32" s="212">
        <f t="shared" si="14"/>
        <v>2244132</v>
      </c>
      <c r="O32" s="212">
        <f t="shared" si="14"/>
        <v>2337637.5</v>
      </c>
      <c r="P32" s="212">
        <f t="shared" si="14"/>
        <v>2368806</v>
      </c>
      <c r="Q32" s="212">
        <f t="shared" si="14"/>
        <v>2431143</v>
      </c>
      <c r="R32" s="197">
        <f t="shared" si="14"/>
        <v>22846510.5</v>
      </c>
      <c r="S32" s="212">
        <f t="shared" si="14"/>
        <v>2895740.6609999998</v>
      </c>
      <c r="T32" s="212">
        <f t="shared" si="14"/>
        <v>2632491.5100000002</v>
      </c>
      <c r="U32" s="212">
        <f t="shared" si="14"/>
        <v>2398135.5585000003</v>
      </c>
      <c r="V32" s="212">
        <f t="shared" si="14"/>
        <v>2427028.7579999999</v>
      </c>
      <c r="W32" s="212">
        <f t="shared" si="14"/>
        <v>2455921.9575</v>
      </c>
      <c r="X32" s="212">
        <f t="shared" si="14"/>
        <v>3036996.3030000008</v>
      </c>
      <c r="Y32" s="212">
        <f t="shared" si="14"/>
        <v>3072310.2135000005</v>
      </c>
      <c r="Z32" s="212">
        <f t="shared" si="14"/>
        <v>2825112.8400000003</v>
      </c>
      <c r="AA32" s="212">
        <f t="shared" si="14"/>
        <v>3107624.1240000003</v>
      </c>
      <c r="AB32" s="212">
        <f t="shared" si="14"/>
        <v>2571494.7555</v>
      </c>
      <c r="AC32" s="212">
        <f t="shared" si="14"/>
        <v>2889319.95</v>
      </c>
      <c r="AD32" s="212">
        <f t="shared" si="14"/>
        <v>2921423.5050000004</v>
      </c>
      <c r="AE32" s="213">
        <f t="shared" si="14"/>
        <v>33233600.136000004</v>
      </c>
      <c r="AF32" s="197">
        <f>SUM(AE32,R32)</f>
        <v>56080110.636000007</v>
      </c>
    </row>
    <row r="33" spans="3:32" x14ac:dyDescent="0.35">
      <c r="C33" s="210"/>
      <c r="D33" s="210"/>
      <c r="E33" s="211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3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3"/>
      <c r="AF33" s="213"/>
    </row>
    <row r="34" spans="3:32" x14ac:dyDescent="0.35">
      <c r="C34" s="210" t="str">
        <f>Расходы!C9</f>
        <v>Расходы на помещение</v>
      </c>
      <c r="D34" s="210"/>
      <c r="E34" s="211"/>
      <c r="F34" s="196">
        <f>SUBTOTAL(9,F35:F36)</f>
        <v>514250</v>
      </c>
      <c r="G34" s="196">
        <f>SUBTOTAL(9,G35:G36)</f>
        <v>514250</v>
      </c>
      <c r="H34" s="196">
        <f t="shared" ref="H34:Q34" si="15">SUBTOTAL(9,H35:H36)</f>
        <v>514250</v>
      </c>
      <c r="I34" s="196">
        <f t="shared" si="15"/>
        <v>514250</v>
      </c>
      <c r="J34" s="196">
        <f>SUBTOTAL(9,J35:J36)</f>
        <v>514250</v>
      </c>
      <c r="K34" s="196">
        <f t="shared" si="15"/>
        <v>514250</v>
      </c>
      <c r="L34" s="196">
        <f t="shared" si="15"/>
        <v>514250</v>
      </c>
      <c r="M34" s="196">
        <f t="shared" si="15"/>
        <v>514250</v>
      </c>
      <c r="N34" s="196">
        <f t="shared" si="15"/>
        <v>514250</v>
      </c>
      <c r="O34" s="196">
        <f t="shared" si="15"/>
        <v>514250</v>
      </c>
      <c r="P34" s="196">
        <f t="shared" si="15"/>
        <v>514250</v>
      </c>
      <c r="Q34" s="196">
        <f t="shared" si="15"/>
        <v>514250</v>
      </c>
      <c r="R34" s="197">
        <f>SUM(F34:Q34)</f>
        <v>6171000</v>
      </c>
      <c r="S34" s="196">
        <f>SUBTOTAL(9,S35:S36)</f>
        <v>514250</v>
      </c>
      <c r="T34" s="196">
        <f>SUBTOTAL(9,T35:T36)</f>
        <v>514250</v>
      </c>
      <c r="U34" s="196">
        <f t="shared" ref="U34" si="16">SUBTOTAL(9,U35:U36)</f>
        <v>514250</v>
      </c>
      <c r="V34" s="196">
        <f t="shared" ref="V34" si="17">SUBTOTAL(9,V35:V36)</f>
        <v>514250</v>
      </c>
      <c r="W34" s="196">
        <f t="shared" ref="W34" si="18">SUBTOTAL(9,W35:W36)</f>
        <v>514250</v>
      </c>
      <c r="X34" s="196">
        <f t="shared" ref="X34" si="19">SUBTOTAL(9,X35:X36)</f>
        <v>514250</v>
      </c>
      <c r="Y34" s="196">
        <f t="shared" ref="Y34" si="20">SUBTOTAL(9,Y35:Y36)</f>
        <v>514250</v>
      </c>
      <c r="Z34" s="196">
        <f t="shared" ref="Z34" si="21">SUBTOTAL(9,Z35:Z36)</f>
        <v>514250</v>
      </c>
      <c r="AA34" s="196">
        <f t="shared" ref="AA34" si="22">SUBTOTAL(9,AA35:AA36)</f>
        <v>514250</v>
      </c>
      <c r="AB34" s="196">
        <f t="shared" ref="AB34" si="23">SUBTOTAL(9,AB35:AB36)</f>
        <v>514250</v>
      </c>
      <c r="AC34" s="196">
        <f t="shared" ref="AC34" si="24">SUBTOTAL(9,AC35:AC36)</f>
        <v>514250</v>
      </c>
      <c r="AD34" s="196">
        <f t="shared" ref="AD34" si="25">SUBTOTAL(9,AD35:AD36)</f>
        <v>514250</v>
      </c>
      <c r="AE34" s="197">
        <f>SUM(S34:AD34)</f>
        <v>6171000</v>
      </c>
      <c r="AF34" s="197">
        <f t="shared" ref="AF34:AF36" si="26">SUM(AE34,R34)</f>
        <v>12342000</v>
      </c>
    </row>
    <row r="35" spans="3:32" x14ac:dyDescent="0.35">
      <c r="C35" s="215" t="str">
        <f>Расходы!C10</f>
        <v>Аренда</v>
      </c>
      <c r="D35" s="210"/>
      <c r="E35" s="202">
        <f>Расходы!E10</f>
        <v>425000</v>
      </c>
      <c r="F35" s="203">
        <f>$E$35</f>
        <v>425000</v>
      </c>
      <c r="G35" s="203">
        <f t="shared" ref="G35:Q35" si="27">$E$35</f>
        <v>425000</v>
      </c>
      <c r="H35" s="203">
        <f t="shared" si="27"/>
        <v>425000</v>
      </c>
      <c r="I35" s="203">
        <f t="shared" si="27"/>
        <v>425000</v>
      </c>
      <c r="J35" s="203">
        <f t="shared" si="27"/>
        <v>425000</v>
      </c>
      <c r="K35" s="203">
        <f t="shared" si="27"/>
        <v>425000</v>
      </c>
      <c r="L35" s="203">
        <f t="shared" si="27"/>
        <v>425000</v>
      </c>
      <c r="M35" s="203">
        <f t="shared" si="27"/>
        <v>425000</v>
      </c>
      <c r="N35" s="203">
        <f t="shared" si="27"/>
        <v>425000</v>
      </c>
      <c r="O35" s="203">
        <f t="shared" si="27"/>
        <v>425000</v>
      </c>
      <c r="P35" s="203">
        <f t="shared" si="27"/>
        <v>425000</v>
      </c>
      <c r="Q35" s="203">
        <f t="shared" si="27"/>
        <v>425000</v>
      </c>
      <c r="R35" s="204">
        <f t="shared" ref="R35:R36" si="28">SUM(F35:Q35)</f>
        <v>5100000</v>
      </c>
      <c r="S35" s="203">
        <f>$E$35</f>
        <v>425000</v>
      </c>
      <c r="T35" s="203">
        <f t="shared" ref="T35:AD35" si="29">$E$35</f>
        <v>425000</v>
      </c>
      <c r="U35" s="203">
        <f t="shared" si="29"/>
        <v>425000</v>
      </c>
      <c r="V35" s="203">
        <f t="shared" si="29"/>
        <v>425000</v>
      </c>
      <c r="W35" s="203">
        <f t="shared" si="29"/>
        <v>425000</v>
      </c>
      <c r="X35" s="203">
        <f t="shared" si="29"/>
        <v>425000</v>
      </c>
      <c r="Y35" s="203">
        <f t="shared" si="29"/>
        <v>425000</v>
      </c>
      <c r="Z35" s="203">
        <f t="shared" si="29"/>
        <v>425000</v>
      </c>
      <c r="AA35" s="203">
        <f t="shared" si="29"/>
        <v>425000</v>
      </c>
      <c r="AB35" s="203">
        <f t="shared" si="29"/>
        <v>425000</v>
      </c>
      <c r="AC35" s="203">
        <f t="shared" si="29"/>
        <v>425000</v>
      </c>
      <c r="AD35" s="203">
        <f t="shared" si="29"/>
        <v>425000</v>
      </c>
      <c r="AE35" s="204">
        <f t="shared" ref="AE35:AE36" si="30">SUM(S35:AD35)</f>
        <v>5100000</v>
      </c>
      <c r="AF35" s="204">
        <f t="shared" si="26"/>
        <v>10200000</v>
      </c>
    </row>
    <row r="36" spans="3:32" x14ac:dyDescent="0.35">
      <c r="C36" s="215" t="str">
        <f>Расходы!C11</f>
        <v>Коммунальные услуги</v>
      </c>
      <c r="D36" s="210"/>
      <c r="E36" s="202">
        <f>Расходы!E11</f>
        <v>89250</v>
      </c>
      <c r="F36" s="203">
        <f>$E$36</f>
        <v>89250</v>
      </c>
      <c r="G36" s="203">
        <f t="shared" ref="G36:Q36" si="31">$E$36</f>
        <v>89250</v>
      </c>
      <c r="H36" s="203">
        <f t="shared" si="31"/>
        <v>89250</v>
      </c>
      <c r="I36" s="203">
        <f t="shared" si="31"/>
        <v>89250</v>
      </c>
      <c r="J36" s="203">
        <f t="shared" si="31"/>
        <v>89250</v>
      </c>
      <c r="K36" s="203">
        <f t="shared" si="31"/>
        <v>89250</v>
      </c>
      <c r="L36" s="203">
        <f t="shared" si="31"/>
        <v>89250</v>
      </c>
      <c r="M36" s="203">
        <f t="shared" si="31"/>
        <v>89250</v>
      </c>
      <c r="N36" s="203">
        <f t="shared" si="31"/>
        <v>89250</v>
      </c>
      <c r="O36" s="203">
        <f t="shared" si="31"/>
        <v>89250</v>
      </c>
      <c r="P36" s="203">
        <f t="shared" si="31"/>
        <v>89250</v>
      </c>
      <c r="Q36" s="203">
        <f t="shared" si="31"/>
        <v>89250</v>
      </c>
      <c r="R36" s="204">
        <f t="shared" si="28"/>
        <v>1071000</v>
      </c>
      <c r="S36" s="203">
        <f>$E$36</f>
        <v>89250</v>
      </c>
      <c r="T36" s="203">
        <f t="shared" ref="T36:AD36" si="32">$E$36</f>
        <v>89250</v>
      </c>
      <c r="U36" s="203">
        <f t="shared" si="32"/>
        <v>89250</v>
      </c>
      <c r="V36" s="203">
        <f t="shared" si="32"/>
        <v>89250</v>
      </c>
      <c r="W36" s="203">
        <f t="shared" si="32"/>
        <v>89250</v>
      </c>
      <c r="X36" s="203">
        <f t="shared" si="32"/>
        <v>89250</v>
      </c>
      <c r="Y36" s="203">
        <f t="shared" si="32"/>
        <v>89250</v>
      </c>
      <c r="Z36" s="203">
        <f t="shared" si="32"/>
        <v>89250</v>
      </c>
      <c r="AA36" s="203">
        <f t="shared" si="32"/>
        <v>89250</v>
      </c>
      <c r="AB36" s="203">
        <f t="shared" si="32"/>
        <v>89250</v>
      </c>
      <c r="AC36" s="203">
        <f t="shared" si="32"/>
        <v>89250</v>
      </c>
      <c r="AD36" s="203">
        <f t="shared" si="32"/>
        <v>89250</v>
      </c>
      <c r="AE36" s="204">
        <f t="shared" si="30"/>
        <v>1071000</v>
      </c>
      <c r="AF36" s="204">
        <f t="shared" si="26"/>
        <v>2142000</v>
      </c>
    </row>
    <row r="37" spans="3:32" x14ac:dyDescent="0.35">
      <c r="C37" s="216"/>
      <c r="D37" s="210"/>
      <c r="E37" s="211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3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3"/>
      <c r="AF37" s="213"/>
    </row>
    <row r="38" spans="3:32" x14ac:dyDescent="0.35">
      <c r="C38" s="210" t="str">
        <f>Расходы!C13</f>
        <v>Расходы на персонал</v>
      </c>
      <c r="D38" s="217"/>
      <c r="E38" s="218"/>
      <c r="F38" s="196">
        <f>SUBTOTAL(9,F39:F46)</f>
        <v>1128580</v>
      </c>
      <c r="G38" s="196">
        <f t="shared" ref="G38:Q38" si="33">SUBTOTAL(9,G39:G46)</f>
        <v>1239788</v>
      </c>
      <c r="H38" s="196">
        <f t="shared" si="33"/>
        <v>1350996</v>
      </c>
      <c r="I38" s="196">
        <f t="shared" si="33"/>
        <v>1462204</v>
      </c>
      <c r="J38" s="196">
        <f t="shared" si="33"/>
        <v>1573412</v>
      </c>
      <c r="K38" s="196">
        <f t="shared" si="33"/>
        <v>1684620</v>
      </c>
      <c r="L38" s="196">
        <f t="shared" si="33"/>
        <v>1795828</v>
      </c>
      <c r="M38" s="196">
        <f t="shared" si="33"/>
        <v>1907036</v>
      </c>
      <c r="N38" s="196">
        <f t="shared" si="33"/>
        <v>2018244</v>
      </c>
      <c r="O38" s="196">
        <f t="shared" si="33"/>
        <v>2101650</v>
      </c>
      <c r="P38" s="196">
        <f t="shared" si="33"/>
        <v>2129452</v>
      </c>
      <c r="Q38" s="196">
        <f t="shared" si="33"/>
        <v>2185056</v>
      </c>
      <c r="R38" s="197">
        <f>SUM(F38:Q38)</f>
        <v>20576866</v>
      </c>
      <c r="S38" s="196">
        <f>SUBTOTAL(9,S39:S46)</f>
        <v>2599472.6120000002</v>
      </c>
      <c r="T38" s="196">
        <f t="shared" ref="T38" si="34">SUBTOTAL(9,T39:T46)</f>
        <v>2364656.92</v>
      </c>
      <c r="U38" s="196">
        <f t="shared" ref="U38" si="35">SUBTOTAL(9,U39:U46)</f>
        <v>2155613.682</v>
      </c>
      <c r="V38" s="196">
        <f t="shared" ref="V38" si="36">SUBTOTAL(9,V39:V46)</f>
        <v>2181386.1359999999</v>
      </c>
      <c r="W38" s="196">
        <f t="shared" ref="W38" si="37">SUBTOTAL(9,W39:W46)</f>
        <v>2207158.59</v>
      </c>
      <c r="X38" s="196">
        <f t="shared" ref="X38" si="38">SUBTOTAL(9,X39:X46)</f>
        <v>2725471.2760000005</v>
      </c>
      <c r="Y38" s="196">
        <f t="shared" ref="Y38" si="39">SUBTOTAL(9,Y39:Y46)</f>
        <v>2756970.9420000007</v>
      </c>
      <c r="Z38" s="196">
        <f t="shared" ref="Z38" si="40">SUBTOTAL(9,Z39:Z46)</f>
        <v>2536473.2800000003</v>
      </c>
      <c r="AA38" s="196">
        <f t="shared" ref="AA38" si="41">SUBTOTAL(9,AA39:AA46)</f>
        <v>2788470.6080000005</v>
      </c>
      <c r="AB38" s="196">
        <f t="shared" ref="AB38" si="42">SUBTOTAL(9,AB39:AB46)</f>
        <v>2310248.4060000004</v>
      </c>
      <c r="AC38" s="196">
        <f t="shared" ref="AC38" si="43">SUBTOTAL(9,AC39:AC46)</f>
        <v>2593745.4</v>
      </c>
      <c r="AD38" s="196">
        <f t="shared" ref="AD38" si="44">SUBTOTAL(9,AD39:AD46)</f>
        <v>2622381.46</v>
      </c>
      <c r="AE38" s="197">
        <f>SUM(S38:AD38)</f>
        <v>29842049.311999999</v>
      </c>
      <c r="AF38" s="197">
        <f t="shared" ref="AF38:AF46" si="45">SUM(AE38,R38)</f>
        <v>50418915.311999999</v>
      </c>
    </row>
    <row r="39" spans="3:32" x14ac:dyDescent="0.35">
      <c r="C39" s="215" t="str">
        <f>+Расходы!C14</f>
        <v>Администраторы</v>
      </c>
      <c r="D39" s="219"/>
      <c r="E39" s="220">
        <f>+Расходы!E14</f>
        <v>3.5000000000000003E-2</v>
      </c>
      <c r="F39" s="203">
        <f t="shared" ref="F39:Q39" si="46">+$E$39*F$23</f>
        <v>132230</v>
      </c>
      <c r="G39" s="203">
        <f t="shared" si="46"/>
        <v>145453</v>
      </c>
      <c r="H39" s="203">
        <f t="shared" si="46"/>
        <v>158676.00000000003</v>
      </c>
      <c r="I39" s="203">
        <f t="shared" si="46"/>
        <v>171899.00000000003</v>
      </c>
      <c r="J39" s="203">
        <f t="shared" si="46"/>
        <v>185122.00000000003</v>
      </c>
      <c r="K39" s="203">
        <f t="shared" si="46"/>
        <v>198345.00000000003</v>
      </c>
      <c r="L39" s="203">
        <f t="shared" si="46"/>
        <v>211568.00000000003</v>
      </c>
      <c r="M39" s="203">
        <f t="shared" si="46"/>
        <v>224791.00000000003</v>
      </c>
      <c r="N39" s="203">
        <f t="shared" si="46"/>
        <v>238014.00000000003</v>
      </c>
      <c r="O39" s="203">
        <f t="shared" si="46"/>
        <v>247931.25000000003</v>
      </c>
      <c r="P39" s="203">
        <f t="shared" si="46"/>
        <v>251237.00000000003</v>
      </c>
      <c r="Q39" s="203">
        <f t="shared" si="46"/>
        <v>257848.50000000003</v>
      </c>
      <c r="R39" s="204">
        <f t="shared" ref="R39:R46" si="47">SUM(F39:Q39)</f>
        <v>2423114.75</v>
      </c>
      <c r="S39" s="203">
        <f t="shared" ref="S39:AD39" si="48">+$E$39*S$23</f>
        <v>307124.00949999999</v>
      </c>
      <c r="T39" s="203">
        <f t="shared" si="48"/>
        <v>279203.64500000002</v>
      </c>
      <c r="U39" s="203">
        <f t="shared" si="48"/>
        <v>254347.71075000003</v>
      </c>
      <c r="V39" s="203">
        <f t="shared" si="48"/>
        <v>257412.141</v>
      </c>
      <c r="W39" s="203">
        <f t="shared" si="48"/>
        <v>260476.57125000004</v>
      </c>
      <c r="X39" s="203">
        <f t="shared" si="48"/>
        <v>322105.66850000009</v>
      </c>
      <c r="Y39" s="203">
        <f t="shared" si="48"/>
        <v>325851.08325000008</v>
      </c>
      <c r="Z39" s="203">
        <f t="shared" si="48"/>
        <v>299633.18000000005</v>
      </c>
      <c r="AA39" s="203">
        <f t="shared" si="48"/>
        <v>329596.49800000008</v>
      </c>
      <c r="AB39" s="203">
        <f t="shared" si="48"/>
        <v>272734.29225</v>
      </c>
      <c r="AC39" s="203">
        <f t="shared" si="48"/>
        <v>306443.02500000002</v>
      </c>
      <c r="AD39" s="203">
        <f t="shared" si="48"/>
        <v>309847.94750000001</v>
      </c>
      <c r="AE39" s="204">
        <f t="shared" ref="AE39:AE45" si="49">SUM(S39:AD39)</f>
        <v>3524775.7720000008</v>
      </c>
      <c r="AF39" s="204">
        <f t="shared" si="45"/>
        <v>5947890.5220000008</v>
      </c>
    </row>
    <row r="40" spans="3:32" x14ac:dyDescent="0.35">
      <c r="C40" s="215" t="str">
        <f>+Расходы!C15</f>
        <v>Официанты</v>
      </c>
      <c r="D40" s="219"/>
      <c r="E40" s="220">
        <f>+Расходы!E15</f>
        <v>0.16</v>
      </c>
      <c r="F40" s="203">
        <f t="shared" ref="F40:Q40" si="50">+$E$40*F$26</f>
        <v>92480</v>
      </c>
      <c r="G40" s="203">
        <f t="shared" si="50"/>
        <v>101728</v>
      </c>
      <c r="H40" s="203">
        <f t="shared" si="50"/>
        <v>110976</v>
      </c>
      <c r="I40" s="203">
        <f t="shared" si="50"/>
        <v>120224</v>
      </c>
      <c r="J40" s="203">
        <f t="shared" si="50"/>
        <v>129472.00000000001</v>
      </c>
      <c r="K40" s="203">
        <f t="shared" si="50"/>
        <v>138720</v>
      </c>
      <c r="L40" s="203">
        <f t="shared" si="50"/>
        <v>147968</v>
      </c>
      <c r="M40" s="203">
        <f t="shared" si="50"/>
        <v>157216.00000000003</v>
      </c>
      <c r="N40" s="203">
        <f t="shared" si="50"/>
        <v>166464</v>
      </c>
      <c r="O40" s="203">
        <f t="shared" si="50"/>
        <v>173400</v>
      </c>
      <c r="P40" s="203">
        <f t="shared" si="50"/>
        <v>175712</v>
      </c>
      <c r="Q40" s="203">
        <f t="shared" si="50"/>
        <v>180336</v>
      </c>
      <c r="R40" s="204">
        <f t="shared" si="47"/>
        <v>1694696</v>
      </c>
      <c r="S40" s="203">
        <f t="shared" ref="S40:AD40" si="51">+$E$40*S$26</f>
        <v>214798.67199999999</v>
      </c>
      <c r="T40" s="203">
        <f t="shared" si="51"/>
        <v>195271.52</v>
      </c>
      <c r="U40" s="203">
        <f t="shared" si="51"/>
        <v>177887.592</v>
      </c>
      <c r="V40" s="203">
        <f t="shared" si="51"/>
        <v>180030.81600000002</v>
      </c>
      <c r="W40" s="203">
        <f t="shared" si="51"/>
        <v>182174.04</v>
      </c>
      <c r="X40" s="203">
        <f t="shared" si="51"/>
        <v>225276.65600000005</v>
      </c>
      <c r="Y40" s="203">
        <f t="shared" si="51"/>
        <v>227896.15200000003</v>
      </c>
      <c r="Z40" s="203">
        <f t="shared" si="51"/>
        <v>209559.67999999999</v>
      </c>
      <c r="AA40" s="203">
        <f t="shared" si="51"/>
        <v>230515.64800000004</v>
      </c>
      <c r="AB40" s="203">
        <f t="shared" si="51"/>
        <v>190746.93600000002</v>
      </c>
      <c r="AC40" s="203">
        <f t="shared" si="51"/>
        <v>214322.4</v>
      </c>
      <c r="AD40" s="203">
        <f t="shared" si="51"/>
        <v>216703.76</v>
      </c>
      <c r="AE40" s="204">
        <f t="shared" si="49"/>
        <v>2465183.8720000004</v>
      </c>
      <c r="AF40" s="204">
        <f t="shared" si="45"/>
        <v>4159879.8720000004</v>
      </c>
    </row>
    <row r="41" spans="3:32" x14ac:dyDescent="0.35">
      <c r="C41" s="215" t="str">
        <f>+Расходы!C16</f>
        <v>Повара</v>
      </c>
      <c r="D41" s="219"/>
      <c r="E41" s="220">
        <f>+Расходы!E16</f>
        <v>0.115</v>
      </c>
      <c r="F41" s="203">
        <f t="shared" ref="F41:Q41" si="52">+$E$41*F$23</f>
        <v>434470</v>
      </c>
      <c r="G41" s="203">
        <f t="shared" si="52"/>
        <v>477917</v>
      </c>
      <c r="H41" s="203">
        <f t="shared" si="52"/>
        <v>521364</v>
      </c>
      <c r="I41" s="203">
        <f t="shared" si="52"/>
        <v>564811</v>
      </c>
      <c r="J41" s="203">
        <f t="shared" si="52"/>
        <v>608258</v>
      </c>
      <c r="K41" s="203">
        <f t="shared" si="52"/>
        <v>651705</v>
      </c>
      <c r="L41" s="203">
        <f t="shared" si="52"/>
        <v>695152</v>
      </c>
      <c r="M41" s="203">
        <f t="shared" si="52"/>
        <v>738599</v>
      </c>
      <c r="N41" s="203">
        <f t="shared" si="52"/>
        <v>782046</v>
      </c>
      <c r="O41" s="203">
        <f t="shared" si="52"/>
        <v>814631.25</v>
      </c>
      <c r="P41" s="203">
        <f t="shared" si="52"/>
        <v>825493</v>
      </c>
      <c r="Q41" s="203">
        <f t="shared" si="52"/>
        <v>847216.5</v>
      </c>
      <c r="R41" s="204">
        <f t="shared" si="47"/>
        <v>7961662.75</v>
      </c>
      <c r="S41" s="203">
        <f t="shared" ref="S41:AD41" si="53">+$E$41*S$23</f>
        <v>1009121.7455</v>
      </c>
      <c r="T41" s="203">
        <f t="shared" si="53"/>
        <v>917383.40500000003</v>
      </c>
      <c r="U41" s="203">
        <f t="shared" si="53"/>
        <v>835713.90675000008</v>
      </c>
      <c r="V41" s="203">
        <f t="shared" si="53"/>
        <v>845782.74899999995</v>
      </c>
      <c r="W41" s="203">
        <f t="shared" si="53"/>
        <v>855851.59125000006</v>
      </c>
      <c r="X41" s="203">
        <f t="shared" si="53"/>
        <v>1058347.1965000003</v>
      </c>
      <c r="Y41" s="203">
        <f t="shared" si="53"/>
        <v>1070653.5592500002</v>
      </c>
      <c r="Z41" s="203">
        <f t="shared" si="53"/>
        <v>984509.02</v>
      </c>
      <c r="AA41" s="203">
        <f t="shared" si="53"/>
        <v>1082959.922</v>
      </c>
      <c r="AB41" s="203">
        <f t="shared" si="53"/>
        <v>896126.96025</v>
      </c>
      <c r="AC41" s="203">
        <f t="shared" si="53"/>
        <v>1006884.2250000001</v>
      </c>
      <c r="AD41" s="203">
        <f t="shared" si="53"/>
        <v>1018071.8275</v>
      </c>
      <c r="AE41" s="204">
        <f t="shared" si="49"/>
        <v>11581406.108000001</v>
      </c>
      <c r="AF41" s="204">
        <f t="shared" si="45"/>
        <v>19543068.858000003</v>
      </c>
    </row>
    <row r="42" spans="3:32" x14ac:dyDescent="0.35">
      <c r="C42" s="215" t="str">
        <f>+Расходы!C17</f>
        <v>Уборщицы</v>
      </c>
      <c r="D42" s="219"/>
      <c r="E42" s="220">
        <f>+Расходы!E17</f>
        <v>1.4999999999999999E-2</v>
      </c>
      <c r="F42" s="203">
        <f t="shared" ref="F42:Q42" si="54">+$E$42*F$23</f>
        <v>56670</v>
      </c>
      <c r="G42" s="203">
        <f t="shared" si="54"/>
        <v>62337</v>
      </c>
      <c r="H42" s="203">
        <f t="shared" si="54"/>
        <v>68004</v>
      </c>
      <c r="I42" s="203">
        <f t="shared" si="54"/>
        <v>73671</v>
      </c>
      <c r="J42" s="203">
        <f t="shared" si="54"/>
        <v>79338</v>
      </c>
      <c r="K42" s="203">
        <f t="shared" si="54"/>
        <v>85005</v>
      </c>
      <c r="L42" s="203">
        <f t="shared" si="54"/>
        <v>90672</v>
      </c>
      <c r="M42" s="203">
        <f t="shared" si="54"/>
        <v>96339</v>
      </c>
      <c r="N42" s="203">
        <f t="shared" si="54"/>
        <v>102006</v>
      </c>
      <c r="O42" s="203">
        <f t="shared" si="54"/>
        <v>106256.25</v>
      </c>
      <c r="P42" s="203">
        <f t="shared" si="54"/>
        <v>107673</v>
      </c>
      <c r="Q42" s="203">
        <f t="shared" si="54"/>
        <v>110506.5</v>
      </c>
      <c r="R42" s="204">
        <f t="shared" si="47"/>
        <v>1038477.75</v>
      </c>
      <c r="S42" s="203">
        <f t="shared" ref="S42:AD42" si="55">+$E$42*S$23</f>
        <v>131624.57549999998</v>
      </c>
      <c r="T42" s="203">
        <f t="shared" si="55"/>
        <v>119658.705</v>
      </c>
      <c r="U42" s="203">
        <f t="shared" si="55"/>
        <v>109006.16175</v>
      </c>
      <c r="V42" s="203">
        <f t="shared" si="55"/>
        <v>110319.48899999999</v>
      </c>
      <c r="W42" s="203">
        <f t="shared" si="55"/>
        <v>111632.81624999999</v>
      </c>
      <c r="X42" s="203">
        <f t="shared" si="55"/>
        <v>138045.28650000002</v>
      </c>
      <c r="Y42" s="203">
        <f t="shared" si="55"/>
        <v>139650.46425000002</v>
      </c>
      <c r="Z42" s="203">
        <f t="shared" si="55"/>
        <v>128414.22</v>
      </c>
      <c r="AA42" s="203">
        <f t="shared" si="55"/>
        <v>141255.64199999999</v>
      </c>
      <c r="AB42" s="203">
        <f t="shared" si="55"/>
        <v>116886.12525</v>
      </c>
      <c r="AC42" s="203">
        <f t="shared" si="55"/>
        <v>131332.72500000001</v>
      </c>
      <c r="AD42" s="203">
        <f t="shared" si="55"/>
        <v>132791.97750000001</v>
      </c>
      <c r="AE42" s="204">
        <f t="shared" si="49"/>
        <v>1510618.1880000001</v>
      </c>
      <c r="AF42" s="204">
        <f t="shared" si="45"/>
        <v>2549095.9380000001</v>
      </c>
    </row>
    <row r="43" spans="3:32" x14ac:dyDescent="0.35">
      <c r="C43" s="221" t="str">
        <f>Расходы!C20</f>
        <v>Курьеры</v>
      </c>
      <c r="D43" s="222" t="str">
        <f>Расходы!D20</f>
        <v xml:space="preserve"> % от выручки доставки</v>
      </c>
      <c r="E43" s="214">
        <f>Расходы!E20</f>
        <v>0.11</v>
      </c>
      <c r="F43" s="208">
        <f t="shared" ref="F43:Q43" si="56">$E$43*F28</f>
        <v>264000</v>
      </c>
      <c r="G43" s="208">
        <f t="shared" si="56"/>
        <v>290400</v>
      </c>
      <c r="H43" s="208">
        <f t="shared" si="56"/>
        <v>316800</v>
      </c>
      <c r="I43" s="208">
        <f t="shared" si="56"/>
        <v>343200</v>
      </c>
      <c r="J43" s="208">
        <f t="shared" si="56"/>
        <v>369600.00000000006</v>
      </c>
      <c r="K43" s="208">
        <f t="shared" si="56"/>
        <v>396000</v>
      </c>
      <c r="L43" s="208">
        <f t="shared" si="56"/>
        <v>422400</v>
      </c>
      <c r="M43" s="208">
        <f t="shared" si="56"/>
        <v>448800.00000000006</v>
      </c>
      <c r="N43" s="208">
        <f t="shared" si="56"/>
        <v>475200</v>
      </c>
      <c r="O43" s="208">
        <f t="shared" si="56"/>
        <v>495000</v>
      </c>
      <c r="P43" s="208">
        <f t="shared" si="56"/>
        <v>501600</v>
      </c>
      <c r="Q43" s="208">
        <f t="shared" si="56"/>
        <v>514800</v>
      </c>
      <c r="R43" s="204">
        <f>SUM(F43:Q43)</f>
        <v>4837800</v>
      </c>
      <c r="S43" s="208">
        <f t="shared" ref="S43:AD43" si="57">$E$43*S28</f>
        <v>613179.6</v>
      </c>
      <c r="T43" s="208">
        <f t="shared" si="57"/>
        <v>557436</v>
      </c>
      <c r="U43" s="208">
        <f t="shared" si="57"/>
        <v>507810.6</v>
      </c>
      <c r="V43" s="208">
        <f t="shared" si="57"/>
        <v>513928.8</v>
      </c>
      <c r="W43" s="208">
        <f t="shared" si="57"/>
        <v>520047</v>
      </c>
      <c r="X43" s="208">
        <f t="shared" si="57"/>
        <v>643090.80000000016</v>
      </c>
      <c r="Y43" s="208">
        <f t="shared" si="57"/>
        <v>650568.60000000009</v>
      </c>
      <c r="Z43" s="208">
        <f t="shared" si="57"/>
        <v>598224</v>
      </c>
      <c r="AA43" s="208">
        <f t="shared" si="57"/>
        <v>658046.40000000014</v>
      </c>
      <c r="AB43" s="208">
        <f t="shared" si="57"/>
        <v>544519.80000000005</v>
      </c>
      <c r="AC43" s="208">
        <f t="shared" si="57"/>
        <v>611820</v>
      </c>
      <c r="AD43" s="208">
        <f t="shared" si="57"/>
        <v>618618</v>
      </c>
      <c r="AE43" s="204">
        <f>SUM(S43:AD43)</f>
        <v>7037289.6000000006</v>
      </c>
      <c r="AF43" s="204">
        <f>SUM(AE43,R43)</f>
        <v>11875089.600000001</v>
      </c>
    </row>
    <row r="44" spans="3:32" x14ac:dyDescent="0.35">
      <c r="C44" s="215" t="str">
        <f>Расходы!C18</f>
        <v>Бухгалтер, оплата в месяц, руб.</v>
      </c>
      <c r="D44" s="223"/>
      <c r="E44" s="202">
        <f>Расходы!E18</f>
        <v>15000</v>
      </c>
      <c r="F44" s="208">
        <f>$E$44</f>
        <v>15000</v>
      </c>
      <c r="G44" s="208">
        <f t="shared" ref="G44:Q44" si="58">$E$44</f>
        <v>15000</v>
      </c>
      <c r="H44" s="208">
        <f t="shared" si="58"/>
        <v>15000</v>
      </c>
      <c r="I44" s="208">
        <f t="shared" si="58"/>
        <v>15000</v>
      </c>
      <c r="J44" s="208">
        <f t="shared" si="58"/>
        <v>15000</v>
      </c>
      <c r="K44" s="208">
        <f t="shared" si="58"/>
        <v>15000</v>
      </c>
      <c r="L44" s="208">
        <f t="shared" si="58"/>
        <v>15000</v>
      </c>
      <c r="M44" s="208">
        <f t="shared" si="58"/>
        <v>15000</v>
      </c>
      <c r="N44" s="208">
        <f t="shared" si="58"/>
        <v>15000</v>
      </c>
      <c r="O44" s="208">
        <f t="shared" si="58"/>
        <v>15000</v>
      </c>
      <c r="P44" s="208">
        <f t="shared" si="58"/>
        <v>15000</v>
      </c>
      <c r="Q44" s="208">
        <f t="shared" si="58"/>
        <v>15000</v>
      </c>
      <c r="R44" s="204">
        <f t="shared" si="47"/>
        <v>180000</v>
      </c>
      <c r="S44" s="208">
        <f>$E$44</f>
        <v>15000</v>
      </c>
      <c r="T44" s="208">
        <f t="shared" ref="T44:AD44" si="59">$E$44</f>
        <v>15000</v>
      </c>
      <c r="U44" s="208">
        <f t="shared" si="59"/>
        <v>15000</v>
      </c>
      <c r="V44" s="208">
        <f t="shared" si="59"/>
        <v>15000</v>
      </c>
      <c r="W44" s="208">
        <f t="shared" si="59"/>
        <v>15000</v>
      </c>
      <c r="X44" s="208">
        <f t="shared" si="59"/>
        <v>15000</v>
      </c>
      <c r="Y44" s="208">
        <f t="shared" si="59"/>
        <v>15000</v>
      </c>
      <c r="Z44" s="208">
        <f t="shared" si="59"/>
        <v>15000</v>
      </c>
      <c r="AA44" s="208">
        <f t="shared" si="59"/>
        <v>15000</v>
      </c>
      <c r="AB44" s="208">
        <f t="shared" si="59"/>
        <v>15000</v>
      </c>
      <c r="AC44" s="208">
        <f t="shared" si="59"/>
        <v>15000</v>
      </c>
      <c r="AD44" s="208">
        <f t="shared" si="59"/>
        <v>15000</v>
      </c>
      <c r="AE44" s="204">
        <f t="shared" si="49"/>
        <v>180000</v>
      </c>
      <c r="AF44" s="204">
        <f t="shared" si="45"/>
        <v>360000</v>
      </c>
    </row>
    <row r="45" spans="3:32" x14ac:dyDescent="0.35">
      <c r="C45" s="215" t="str">
        <f>Расходы!C19</f>
        <v>Закупка формы персонала</v>
      </c>
      <c r="D45" s="223"/>
      <c r="E45" s="202">
        <f>Расходы!E19</f>
        <v>1500</v>
      </c>
      <c r="F45" s="208">
        <f>$E$45</f>
        <v>1500</v>
      </c>
      <c r="G45" s="208">
        <f t="shared" ref="G45:Q45" si="60">$E$45</f>
        <v>1500</v>
      </c>
      <c r="H45" s="208">
        <f t="shared" si="60"/>
        <v>1500</v>
      </c>
      <c r="I45" s="208">
        <f t="shared" si="60"/>
        <v>1500</v>
      </c>
      <c r="J45" s="208">
        <f t="shared" si="60"/>
        <v>1500</v>
      </c>
      <c r="K45" s="208">
        <f t="shared" si="60"/>
        <v>1500</v>
      </c>
      <c r="L45" s="208">
        <f t="shared" si="60"/>
        <v>1500</v>
      </c>
      <c r="M45" s="208">
        <f t="shared" si="60"/>
        <v>1500</v>
      </c>
      <c r="N45" s="208">
        <f t="shared" si="60"/>
        <v>1500</v>
      </c>
      <c r="O45" s="208">
        <f t="shared" si="60"/>
        <v>1500</v>
      </c>
      <c r="P45" s="208">
        <f t="shared" si="60"/>
        <v>1500</v>
      </c>
      <c r="Q45" s="208">
        <f t="shared" si="60"/>
        <v>1500</v>
      </c>
      <c r="R45" s="204">
        <f t="shared" si="47"/>
        <v>18000</v>
      </c>
      <c r="S45" s="208">
        <f>$E$45</f>
        <v>1500</v>
      </c>
      <c r="T45" s="208">
        <f t="shared" ref="T45:AD45" si="61">$E$45</f>
        <v>1500</v>
      </c>
      <c r="U45" s="208">
        <f t="shared" si="61"/>
        <v>1500</v>
      </c>
      <c r="V45" s="208">
        <f t="shared" si="61"/>
        <v>1500</v>
      </c>
      <c r="W45" s="208">
        <f t="shared" si="61"/>
        <v>1500</v>
      </c>
      <c r="X45" s="208">
        <f t="shared" si="61"/>
        <v>1500</v>
      </c>
      <c r="Y45" s="208">
        <f t="shared" si="61"/>
        <v>1500</v>
      </c>
      <c r="Z45" s="208">
        <f t="shared" si="61"/>
        <v>1500</v>
      </c>
      <c r="AA45" s="208">
        <f t="shared" si="61"/>
        <v>1500</v>
      </c>
      <c r="AB45" s="208">
        <f t="shared" si="61"/>
        <v>1500</v>
      </c>
      <c r="AC45" s="208">
        <f t="shared" si="61"/>
        <v>1500</v>
      </c>
      <c r="AD45" s="208">
        <f t="shared" si="61"/>
        <v>1500</v>
      </c>
      <c r="AE45" s="204">
        <f t="shared" si="49"/>
        <v>18000</v>
      </c>
      <c r="AF45" s="204">
        <f t="shared" si="45"/>
        <v>36000</v>
      </c>
    </row>
    <row r="46" spans="3:32" x14ac:dyDescent="0.35">
      <c r="C46" s="215" t="s">
        <v>139</v>
      </c>
      <c r="D46" s="223"/>
      <c r="E46" s="220">
        <v>3.5000000000000003E-2</v>
      </c>
      <c r="F46" s="203">
        <f t="shared" ref="F46:Q46" si="62">+$E$46*F$23</f>
        <v>132230</v>
      </c>
      <c r="G46" s="203">
        <f t="shared" si="62"/>
        <v>145453</v>
      </c>
      <c r="H46" s="203">
        <f t="shared" si="62"/>
        <v>158676.00000000003</v>
      </c>
      <c r="I46" s="203">
        <f t="shared" si="62"/>
        <v>171899.00000000003</v>
      </c>
      <c r="J46" s="203">
        <f t="shared" si="62"/>
        <v>185122.00000000003</v>
      </c>
      <c r="K46" s="203">
        <f t="shared" si="62"/>
        <v>198345.00000000003</v>
      </c>
      <c r="L46" s="203">
        <f t="shared" si="62"/>
        <v>211568.00000000003</v>
      </c>
      <c r="M46" s="203">
        <f t="shared" si="62"/>
        <v>224791.00000000003</v>
      </c>
      <c r="N46" s="203">
        <f t="shared" si="62"/>
        <v>238014.00000000003</v>
      </c>
      <c r="O46" s="203">
        <f t="shared" si="62"/>
        <v>247931.25000000003</v>
      </c>
      <c r="P46" s="203">
        <f t="shared" si="62"/>
        <v>251237.00000000003</v>
      </c>
      <c r="Q46" s="203">
        <f t="shared" si="62"/>
        <v>257848.50000000003</v>
      </c>
      <c r="R46" s="204">
        <f t="shared" si="47"/>
        <v>2423114.75</v>
      </c>
      <c r="S46" s="203">
        <f t="shared" ref="S46:AD46" si="63">+$E$46*S$23</f>
        <v>307124.00949999999</v>
      </c>
      <c r="T46" s="203">
        <f t="shared" si="63"/>
        <v>279203.64500000002</v>
      </c>
      <c r="U46" s="203">
        <f t="shared" si="63"/>
        <v>254347.71075000003</v>
      </c>
      <c r="V46" s="203">
        <f t="shared" si="63"/>
        <v>257412.141</v>
      </c>
      <c r="W46" s="203">
        <f t="shared" si="63"/>
        <v>260476.57125000004</v>
      </c>
      <c r="X46" s="203">
        <f t="shared" si="63"/>
        <v>322105.66850000009</v>
      </c>
      <c r="Y46" s="203">
        <f t="shared" si="63"/>
        <v>325851.08325000008</v>
      </c>
      <c r="Z46" s="203">
        <f t="shared" si="63"/>
        <v>299633.18000000005</v>
      </c>
      <c r="AA46" s="203">
        <f t="shared" si="63"/>
        <v>329596.49800000008</v>
      </c>
      <c r="AB46" s="203">
        <f t="shared" si="63"/>
        <v>272734.29225</v>
      </c>
      <c r="AC46" s="203">
        <f t="shared" si="63"/>
        <v>306443.02500000002</v>
      </c>
      <c r="AD46" s="203">
        <f t="shared" si="63"/>
        <v>309847.94750000001</v>
      </c>
      <c r="AE46" s="204">
        <f t="shared" ref="AE46" si="64">SUM(S46:AD46)</f>
        <v>3524775.7720000008</v>
      </c>
      <c r="AF46" s="204">
        <f t="shared" si="45"/>
        <v>5947890.5220000008</v>
      </c>
    </row>
    <row r="47" spans="3:32" x14ac:dyDescent="0.35">
      <c r="C47" s="215"/>
      <c r="D47" s="223"/>
      <c r="E47" s="202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4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4"/>
      <c r="AF47" s="204"/>
    </row>
    <row r="48" spans="3:32" x14ac:dyDescent="0.35">
      <c r="C48" s="210" t="str">
        <f>Расходы!C22</f>
        <v>Банковские расходы</v>
      </c>
      <c r="D48" s="223"/>
      <c r="E48" s="202"/>
      <c r="F48" s="196">
        <f t="shared" ref="F48:AE48" si="65">SUBTOTAL(9,F49:F50)</f>
        <v>30957.200000000001</v>
      </c>
      <c r="G48" s="196">
        <f t="shared" si="65"/>
        <v>33752.92</v>
      </c>
      <c r="H48" s="196">
        <f t="shared" si="65"/>
        <v>36548.639999999999</v>
      </c>
      <c r="I48" s="196">
        <f>SUBTOTAL(9,I49:I50)</f>
        <v>39344.36</v>
      </c>
      <c r="J48" s="196">
        <f t="shared" si="65"/>
        <v>42140.08</v>
      </c>
      <c r="K48" s="196">
        <f t="shared" si="65"/>
        <v>44935.8</v>
      </c>
      <c r="L48" s="196">
        <f t="shared" si="65"/>
        <v>47731.520000000004</v>
      </c>
      <c r="M48" s="196">
        <f t="shared" si="65"/>
        <v>50527.240000000005</v>
      </c>
      <c r="N48" s="196">
        <f t="shared" si="65"/>
        <v>53322.96</v>
      </c>
      <c r="O48" s="196">
        <f t="shared" si="65"/>
        <v>55419.75</v>
      </c>
      <c r="P48" s="196">
        <f t="shared" si="65"/>
        <v>56118.68</v>
      </c>
      <c r="Q48" s="196">
        <f t="shared" si="65"/>
        <v>57516.54</v>
      </c>
      <c r="R48" s="197">
        <f t="shared" si="65"/>
        <v>548315.68999999994</v>
      </c>
      <c r="S48" s="196">
        <f t="shared" si="65"/>
        <v>67934.790580000001</v>
      </c>
      <c r="T48" s="196">
        <f t="shared" si="65"/>
        <v>62031.627800000002</v>
      </c>
      <c r="U48" s="196">
        <f t="shared" si="65"/>
        <v>56776.373130000007</v>
      </c>
      <c r="V48" s="196">
        <f t="shared" si="65"/>
        <v>57424.281239999997</v>
      </c>
      <c r="W48" s="196">
        <f t="shared" si="65"/>
        <v>58072.189350000001</v>
      </c>
      <c r="X48" s="196">
        <f t="shared" si="65"/>
        <v>71102.341340000014</v>
      </c>
      <c r="Y48" s="196">
        <f t="shared" si="65"/>
        <v>71894.229030000017</v>
      </c>
      <c r="Z48" s="196">
        <f t="shared" si="65"/>
        <v>66351.015199999994</v>
      </c>
      <c r="AA48" s="196">
        <f t="shared" si="65"/>
        <v>72686.116720000005</v>
      </c>
      <c r="AB48" s="196">
        <f t="shared" si="65"/>
        <v>60663.821790000002</v>
      </c>
      <c r="AC48" s="196">
        <f t="shared" si="65"/>
        <v>67790.811000000002</v>
      </c>
      <c r="AD48" s="196">
        <f t="shared" si="65"/>
        <v>68510.708899999998</v>
      </c>
      <c r="AE48" s="197">
        <f t="shared" si="65"/>
        <v>781238.30608000001</v>
      </c>
      <c r="AF48" s="197">
        <f t="shared" ref="AF48:AF50" si="66">SUM(AE48,R48)</f>
        <v>1329553.99608</v>
      </c>
    </row>
    <row r="49" spans="3:32" x14ac:dyDescent="0.35">
      <c r="C49" s="215" t="s">
        <v>19</v>
      </c>
      <c r="D49" s="223"/>
      <c r="E49" s="220">
        <f>Расходы!$D$26</f>
        <v>7.4000000000000003E-3</v>
      </c>
      <c r="F49" s="208">
        <f t="shared" ref="F49:Q49" si="67">$E$49*F23</f>
        <v>27957.200000000001</v>
      </c>
      <c r="G49" s="208">
        <f t="shared" si="67"/>
        <v>30752.920000000002</v>
      </c>
      <c r="H49" s="208">
        <f t="shared" si="67"/>
        <v>33548.639999999999</v>
      </c>
      <c r="I49" s="208">
        <f t="shared" si="67"/>
        <v>36344.36</v>
      </c>
      <c r="J49" s="208">
        <f t="shared" si="67"/>
        <v>39140.080000000002</v>
      </c>
      <c r="K49" s="208">
        <f t="shared" si="67"/>
        <v>41935.800000000003</v>
      </c>
      <c r="L49" s="208">
        <f t="shared" si="67"/>
        <v>44731.520000000004</v>
      </c>
      <c r="M49" s="208">
        <f t="shared" si="67"/>
        <v>47527.240000000005</v>
      </c>
      <c r="N49" s="208">
        <f t="shared" si="67"/>
        <v>50322.96</v>
      </c>
      <c r="O49" s="208">
        <f t="shared" si="67"/>
        <v>52419.75</v>
      </c>
      <c r="P49" s="208">
        <f t="shared" si="67"/>
        <v>53118.68</v>
      </c>
      <c r="Q49" s="208">
        <f t="shared" si="67"/>
        <v>54516.54</v>
      </c>
      <c r="R49" s="204">
        <f>SUM(F49:Q49)</f>
        <v>512315.69</v>
      </c>
      <c r="S49" s="208">
        <f t="shared" ref="S49:AD49" si="68">$E$49*S23</f>
        <v>64934.790580000001</v>
      </c>
      <c r="T49" s="208">
        <f t="shared" si="68"/>
        <v>59031.627800000002</v>
      </c>
      <c r="U49" s="208">
        <f t="shared" si="68"/>
        <v>53776.373130000007</v>
      </c>
      <c r="V49" s="208">
        <f t="shared" si="68"/>
        <v>54424.281239999997</v>
      </c>
      <c r="W49" s="208">
        <f t="shared" si="68"/>
        <v>55072.189350000001</v>
      </c>
      <c r="X49" s="208">
        <f t="shared" si="68"/>
        <v>68102.341340000014</v>
      </c>
      <c r="Y49" s="208">
        <f t="shared" si="68"/>
        <v>68894.229030000017</v>
      </c>
      <c r="Z49" s="208">
        <f t="shared" si="68"/>
        <v>63351.015200000002</v>
      </c>
      <c r="AA49" s="208">
        <f t="shared" si="68"/>
        <v>69686.116720000005</v>
      </c>
      <c r="AB49" s="208">
        <f t="shared" si="68"/>
        <v>57663.821790000002</v>
      </c>
      <c r="AC49" s="208">
        <f t="shared" si="68"/>
        <v>64790.811000000002</v>
      </c>
      <c r="AD49" s="208">
        <f t="shared" si="68"/>
        <v>65510.708900000005</v>
      </c>
      <c r="AE49" s="204">
        <f>SUM(S49:AD49)</f>
        <v>745238.30608000001</v>
      </c>
      <c r="AF49" s="204">
        <f t="shared" si="66"/>
        <v>1257553.99608</v>
      </c>
    </row>
    <row r="50" spans="3:32" x14ac:dyDescent="0.35">
      <c r="C50" s="215" t="str">
        <f>Расходы!C28</f>
        <v>Плата за расчетный счет в месяц</v>
      </c>
      <c r="D50" s="217"/>
      <c r="E50" s="202">
        <f>Расходы!D28</f>
        <v>3000</v>
      </c>
      <c r="F50" s="224">
        <f>$E$50</f>
        <v>3000</v>
      </c>
      <c r="G50" s="224">
        <f t="shared" ref="G50:Q50" si="69">$E$50</f>
        <v>3000</v>
      </c>
      <c r="H50" s="224">
        <f t="shared" si="69"/>
        <v>3000</v>
      </c>
      <c r="I50" s="224">
        <f t="shared" si="69"/>
        <v>3000</v>
      </c>
      <c r="J50" s="224">
        <f t="shared" si="69"/>
        <v>3000</v>
      </c>
      <c r="K50" s="224">
        <f t="shared" si="69"/>
        <v>3000</v>
      </c>
      <c r="L50" s="224">
        <f t="shared" si="69"/>
        <v>3000</v>
      </c>
      <c r="M50" s="224">
        <f t="shared" si="69"/>
        <v>3000</v>
      </c>
      <c r="N50" s="224">
        <f t="shared" si="69"/>
        <v>3000</v>
      </c>
      <c r="O50" s="224">
        <f t="shared" si="69"/>
        <v>3000</v>
      </c>
      <c r="P50" s="224">
        <f t="shared" si="69"/>
        <v>3000</v>
      </c>
      <c r="Q50" s="224">
        <f t="shared" si="69"/>
        <v>3000</v>
      </c>
      <c r="R50" s="204">
        <f>SUM(F50:Q50)</f>
        <v>36000</v>
      </c>
      <c r="S50" s="224">
        <f>$E$50</f>
        <v>3000</v>
      </c>
      <c r="T50" s="224">
        <f t="shared" ref="T50:AD50" si="70">$E$50</f>
        <v>3000</v>
      </c>
      <c r="U50" s="224">
        <f t="shared" si="70"/>
        <v>3000</v>
      </c>
      <c r="V50" s="224">
        <f t="shared" si="70"/>
        <v>3000</v>
      </c>
      <c r="W50" s="224">
        <f t="shared" si="70"/>
        <v>3000</v>
      </c>
      <c r="X50" s="224">
        <f t="shared" si="70"/>
        <v>3000</v>
      </c>
      <c r="Y50" s="224">
        <f t="shared" si="70"/>
        <v>3000</v>
      </c>
      <c r="Z50" s="224">
        <f t="shared" si="70"/>
        <v>3000</v>
      </c>
      <c r="AA50" s="224">
        <f t="shared" si="70"/>
        <v>3000</v>
      </c>
      <c r="AB50" s="224">
        <f t="shared" si="70"/>
        <v>3000</v>
      </c>
      <c r="AC50" s="224">
        <f t="shared" si="70"/>
        <v>3000</v>
      </c>
      <c r="AD50" s="224">
        <f t="shared" si="70"/>
        <v>3000</v>
      </c>
      <c r="AE50" s="204">
        <f>SUM(S50:AD50)</f>
        <v>36000</v>
      </c>
      <c r="AF50" s="204">
        <f t="shared" si="66"/>
        <v>72000</v>
      </c>
    </row>
    <row r="51" spans="3:32" x14ac:dyDescent="0.35">
      <c r="C51" s="215"/>
      <c r="D51" s="217"/>
      <c r="E51" s="21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4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4"/>
      <c r="AF51" s="204"/>
    </row>
    <row r="52" spans="3:32" x14ac:dyDescent="0.35">
      <c r="C52" s="210" t="str">
        <f>Расходы!C30</f>
        <v>Прочие постоянные расходы</v>
      </c>
      <c r="D52" s="225"/>
      <c r="E52" s="218"/>
      <c r="F52" s="196">
        <f t="shared" ref="F52:H52" si="71">SUBTOTAL(9,F53:F62)</f>
        <v>113745</v>
      </c>
      <c r="G52" s="196">
        <f t="shared" si="71"/>
        <v>113745</v>
      </c>
      <c r="H52" s="196">
        <f t="shared" si="71"/>
        <v>113745</v>
      </c>
      <c r="I52" s="196">
        <f>SUBTOTAL(9,I53:I62)</f>
        <v>113745</v>
      </c>
      <c r="J52" s="196">
        <f t="shared" ref="J52:Q52" si="72">SUBTOTAL(9,J53:J62)</f>
        <v>113745</v>
      </c>
      <c r="K52" s="196">
        <f t="shared" si="72"/>
        <v>113745</v>
      </c>
      <c r="L52" s="196">
        <f t="shared" si="72"/>
        <v>113745</v>
      </c>
      <c r="M52" s="196">
        <f t="shared" si="72"/>
        <v>113745</v>
      </c>
      <c r="N52" s="196">
        <f t="shared" si="72"/>
        <v>113745</v>
      </c>
      <c r="O52" s="196">
        <f t="shared" si="72"/>
        <v>113745</v>
      </c>
      <c r="P52" s="196">
        <f t="shared" si="72"/>
        <v>113745</v>
      </c>
      <c r="Q52" s="196">
        <f t="shared" si="72"/>
        <v>113745</v>
      </c>
      <c r="R52" s="197">
        <f t="shared" ref="R52:AE52" si="73">SUBTOTAL(9,R53:R61)</f>
        <v>1340940</v>
      </c>
      <c r="S52" s="196">
        <f t="shared" ref="S52" si="74">SUBTOTAL(9,S53:S62)</f>
        <v>113745</v>
      </c>
      <c r="T52" s="196">
        <f t="shared" ref="T52" si="75">SUBTOTAL(9,T53:T62)</f>
        <v>113745</v>
      </c>
      <c r="U52" s="196">
        <f t="shared" ref="U52" si="76">SUBTOTAL(9,U53:U62)</f>
        <v>113745</v>
      </c>
      <c r="V52" s="196">
        <f t="shared" ref="V52" si="77">SUBTOTAL(9,V53:V62)</f>
        <v>113745</v>
      </c>
      <c r="W52" s="196">
        <f t="shared" ref="W52" si="78">SUBTOTAL(9,W53:W62)</f>
        <v>113745</v>
      </c>
      <c r="X52" s="196">
        <f t="shared" ref="X52" si="79">SUBTOTAL(9,X53:X62)</f>
        <v>113745</v>
      </c>
      <c r="Y52" s="196">
        <f t="shared" ref="Y52" si="80">SUBTOTAL(9,Y53:Y62)</f>
        <v>113745</v>
      </c>
      <c r="Z52" s="196">
        <f t="shared" ref="Z52" si="81">SUBTOTAL(9,Z53:Z62)</f>
        <v>113745</v>
      </c>
      <c r="AA52" s="196">
        <f t="shared" ref="AA52" si="82">SUBTOTAL(9,AA53:AA62)</f>
        <v>113745</v>
      </c>
      <c r="AB52" s="196">
        <f t="shared" ref="AB52" si="83">SUBTOTAL(9,AB53:AB62)</f>
        <v>113745</v>
      </c>
      <c r="AC52" s="196">
        <f t="shared" ref="AC52" si="84">SUBTOTAL(9,AC53:AC62)</f>
        <v>113745</v>
      </c>
      <c r="AD52" s="196">
        <f t="shared" ref="AD52" si="85">SUBTOTAL(9,AD53:AD62)</f>
        <v>113745</v>
      </c>
      <c r="AE52" s="197">
        <f t="shared" si="73"/>
        <v>1340940</v>
      </c>
      <c r="AF52" s="197">
        <f t="shared" ref="AF52:AF66" si="86">SUM(AE52,R52)</f>
        <v>2681880</v>
      </c>
    </row>
    <row r="53" spans="3:32" x14ac:dyDescent="0.35">
      <c r="C53" s="215" t="str">
        <f>Расходы!C31</f>
        <v>Абонентская плата Iiko</v>
      </c>
      <c r="D53" s="225"/>
      <c r="E53" s="202">
        <f>Расходы!E31</f>
        <v>6125</v>
      </c>
      <c r="F53" s="208">
        <f>$E$53</f>
        <v>6125</v>
      </c>
      <c r="G53" s="208">
        <f t="shared" ref="G53:Q53" si="87">$E$53</f>
        <v>6125</v>
      </c>
      <c r="H53" s="208">
        <f t="shared" si="87"/>
        <v>6125</v>
      </c>
      <c r="I53" s="208">
        <f t="shared" si="87"/>
        <v>6125</v>
      </c>
      <c r="J53" s="208">
        <f t="shared" si="87"/>
        <v>6125</v>
      </c>
      <c r="K53" s="208">
        <f t="shared" si="87"/>
        <v>6125</v>
      </c>
      <c r="L53" s="208">
        <f t="shared" si="87"/>
        <v>6125</v>
      </c>
      <c r="M53" s="208">
        <f t="shared" si="87"/>
        <v>6125</v>
      </c>
      <c r="N53" s="208">
        <f t="shared" si="87"/>
        <v>6125</v>
      </c>
      <c r="O53" s="208">
        <f t="shared" si="87"/>
        <v>6125</v>
      </c>
      <c r="P53" s="208">
        <f t="shared" si="87"/>
        <v>6125</v>
      </c>
      <c r="Q53" s="208">
        <f t="shared" si="87"/>
        <v>6125</v>
      </c>
      <c r="R53" s="204">
        <f t="shared" ref="R53:R62" si="88">SUM(F53:Q53)</f>
        <v>73500</v>
      </c>
      <c r="S53" s="208">
        <f>$E$53</f>
        <v>6125</v>
      </c>
      <c r="T53" s="208">
        <f t="shared" ref="T53:AD53" si="89">$E$53</f>
        <v>6125</v>
      </c>
      <c r="U53" s="208">
        <f t="shared" si="89"/>
        <v>6125</v>
      </c>
      <c r="V53" s="208">
        <f t="shared" si="89"/>
        <v>6125</v>
      </c>
      <c r="W53" s="208">
        <f t="shared" si="89"/>
        <v>6125</v>
      </c>
      <c r="X53" s="208">
        <f t="shared" si="89"/>
        <v>6125</v>
      </c>
      <c r="Y53" s="208">
        <f t="shared" si="89"/>
        <v>6125</v>
      </c>
      <c r="Z53" s="208">
        <f t="shared" si="89"/>
        <v>6125</v>
      </c>
      <c r="AA53" s="208">
        <f t="shared" si="89"/>
        <v>6125</v>
      </c>
      <c r="AB53" s="208">
        <f t="shared" si="89"/>
        <v>6125</v>
      </c>
      <c r="AC53" s="208">
        <f t="shared" si="89"/>
        <v>6125</v>
      </c>
      <c r="AD53" s="208">
        <f t="shared" si="89"/>
        <v>6125</v>
      </c>
      <c r="AE53" s="204">
        <f t="shared" ref="AE53:AE61" si="90">SUM(S53:AD53)</f>
        <v>73500</v>
      </c>
      <c r="AF53" s="204">
        <f t="shared" si="86"/>
        <v>147000</v>
      </c>
    </row>
    <row r="54" spans="3:32" x14ac:dyDescent="0.35">
      <c r="C54" s="215" t="str">
        <f>Расходы!C32</f>
        <v>Техподдержка iiko</v>
      </c>
      <c r="D54" s="225"/>
      <c r="E54" s="202">
        <f>Расходы!E32</f>
        <v>4500</v>
      </c>
      <c r="F54" s="208">
        <f>$E$54</f>
        <v>4500</v>
      </c>
      <c r="G54" s="208">
        <f t="shared" ref="G54:Q54" si="91">$E$54</f>
        <v>4500</v>
      </c>
      <c r="H54" s="208">
        <f t="shared" si="91"/>
        <v>4500</v>
      </c>
      <c r="I54" s="208">
        <f t="shared" si="91"/>
        <v>4500</v>
      </c>
      <c r="J54" s="208">
        <f t="shared" si="91"/>
        <v>4500</v>
      </c>
      <c r="K54" s="208">
        <f t="shared" si="91"/>
        <v>4500</v>
      </c>
      <c r="L54" s="208">
        <f t="shared" si="91"/>
        <v>4500</v>
      </c>
      <c r="M54" s="208">
        <f t="shared" si="91"/>
        <v>4500</v>
      </c>
      <c r="N54" s="208">
        <f t="shared" si="91"/>
        <v>4500</v>
      </c>
      <c r="O54" s="208">
        <f t="shared" si="91"/>
        <v>4500</v>
      </c>
      <c r="P54" s="208">
        <f t="shared" si="91"/>
        <v>4500</v>
      </c>
      <c r="Q54" s="208">
        <f t="shared" si="91"/>
        <v>4500</v>
      </c>
      <c r="R54" s="204">
        <f t="shared" si="88"/>
        <v>54000</v>
      </c>
      <c r="S54" s="208">
        <f>$E$54</f>
        <v>4500</v>
      </c>
      <c r="T54" s="208">
        <f t="shared" ref="T54:AD54" si="92">$E$54</f>
        <v>4500</v>
      </c>
      <c r="U54" s="208">
        <f t="shared" si="92"/>
        <v>4500</v>
      </c>
      <c r="V54" s="208">
        <f t="shared" si="92"/>
        <v>4500</v>
      </c>
      <c r="W54" s="208">
        <f t="shared" si="92"/>
        <v>4500</v>
      </c>
      <c r="X54" s="208">
        <f t="shared" si="92"/>
        <v>4500</v>
      </c>
      <c r="Y54" s="208">
        <f t="shared" si="92"/>
        <v>4500</v>
      </c>
      <c r="Z54" s="208">
        <f t="shared" si="92"/>
        <v>4500</v>
      </c>
      <c r="AA54" s="208">
        <f t="shared" si="92"/>
        <v>4500</v>
      </c>
      <c r="AB54" s="208">
        <f t="shared" si="92"/>
        <v>4500</v>
      </c>
      <c r="AC54" s="208">
        <f t="shared" si="92"/>
        <v>4500</v>
      </c>
      <c r="AD54" s="208">
        <f t="shared" si="92"/>
        <v>4500</v>
      </c>
      <c r="AE54" s="204">
        <f t="shared" si="90"/>
        <v>54000</v>
      </c>
      <c r="AF54" s="204">
        <f t="shared" si="86"/>
        <v>108000</v>
      </c>
    </row>
    <row r="55" spans="3:32" x14ac:dyDescent="0.35">
      <c r="C55" s="215" t="str">
        <f>Расходы!C33</f>
        <v>Абонентская плата за видеонаблюдение</v>
      </c>
      <c r="D55" s="216"/>
      <c r="E55" s="202">
        <f>Расходы!E33</f>
        <v>0</v>
      </c>
      <c r="F55" s="208">
        <f>$E$55</f>
        <v>0</v>
      </c>
      <c r="G55" s="208">
        <f t="shared" ref="G55:Q55" si="93">$E$55</f>
        <v>0</v>
      </c>
      <c r="H55" s="208">
        <f t="shared" si="93"/>
        <v>0</v>
      </c>
      <c r="I55" s="208">
        <f t="shared" si="93"/>
        <v>0</v>
      </c>
      <c r="J55" s="208">
        <f t="shared" si="93"/>
        <v>0</v>
      </c>
      <c r="K55" s="208">
        <f t="shared" si="93"/>
        <v>0</v>
      </c>
      <c r="L55" s="208">
        <f t="shared" si="93"/>
        <v>0</v>
      </c>
      <c r="M55" s="208">
        <f t="shared" si="93"/>
        <v>0</v>
      </c>
      <c r="N55" s="208">
        <f t="shared" si="93"/>
        <v>0</v>
      </c>
      <c r="O55" s="208">
        <f t="shared" si="93"/>
        <v>0</v>
      </c>
      <c r="P55" s="208">
        <f t="shared" si="93"/>
        <v>0</v>
      </c>
      <c r="Q55" s="208">
        <f t="shared" si="93"/>
        <v>0</v>
      </c>
      <c r="R55" s="204">
        <f t="shared" si="88"/>
        <v>0</v>
      </c>
      <c r="S55" s="208">
        <f>$E$55</f>
        <v>0</v>
      </c>
      <c r="T55" s="208">
        <f t="shared" ref="T55:AD55" si="94">$E$55</f>
        <v>0</v>
      </c>
      <c r="U55" s="208">
        <f t="shared" si="94"/>
        <v>0</v>
      </c>
      <c r="V55" s="208">
        <f t="shared" si="94"/>
        <v>0</v>
      </c>
      <c r="W55" s="208">
        <f t="shared" si="94"/>
        <v>0</v>
      </c>
      <c r="X55" s="208">
        <f t="shared" si="94"/>
        <v>0</v>
      </c>
      <c r="Y55" s="208">
        <f t="shared" si="94"/>
        <v>0</v>
      </c>
      <c r="Z55" s="208">
        <f t="shared" si="94"/>
        <v>0</v>
      </c>
      <c r="AA55" s="208">
        <f t="shared" si="94"/>
        <v>0</v>
      </c>
      <c r="AB55" s="208">
        <f t="shared" si="94"/>
        <v>0</v>
      </c>
      <c r="AC55" s="208">
        <f t="shared" si="94"/>
        <v>0</v>
      </c>
      <c r="AD55" s="208">
        <f t="shared" si="94"/>
        <v>0</v>
      </c>
      <c r="AE55" s="204">
        <f t="shared" si="90"/>
        <v>0</v>
      </c>
      <c r="AF55" s="197">
        <f t="shared" si="86"/>
        <v>0</v>
      </c>
    </row>
    <row r="56" spans="3:32" x14ac:dyDescent="0.35">
      <c r="C56" s="215" t="str">
        <f>Расходы!C34</f>
        <v>Связь интернет</v>
      </c>
      <c r="D56" s="216"/>
      <c r="E56" s="202">
        <f>Расходы!E34</f>
        <v>4600</v>
      </c>
      <c r="F56" s="208">
        <f>$E$56</f>
        <v>4600</v>
      </c>
      <c r="G56" s="208">
        <f t="shared" ref="G56:Q56" si="95">$E$56</f>
        <v>4600</v>
      </c>
      <c r="H56" s="208">
        <f t="shared" si="95"/>
        <v>4600</v>
      </c>
      <c r="I56" s="208">
        <f t="shared" si="95"/>
        <v>4600</v>
      </c>
      <c r="J56" s="208">
        <f t="shared" si="95"/>
        <v>4600</v>
      </c>
      <c r="K56" s="208">
        <f t="shared" si="95"/>
        <v>4600</v>
      </c>
      <c r="L56" s="208">
        <f t="shared" si="95"/>
        <v>4600</v>
      </c>
      <c r="M56" s="208">
        <f t="shared" si="95"/>
        <v>4600</v>
      </c>
      <c r="N56" s="208">
        <f t="shared" si="95"/>
        <v>4600</v>
      </c>
      <c r="O56" s="208">
        <f t="shared" si="95"/>
        <v>4600</v>
      </c>
      <c r="P56" s="208">
        <f t="shared" si="95"/>
        <v>4600</v>
      </c>
      <c r="Q56" s="208">
        <f t="shared" si="95"/>
        <v>4600</v>
      </c>
      <c r="R56" s="204">
        <f t="shared" si="88"/>
        <v>55200</v>
      </c>
      <c r="S56" s="208">
        <f>$E$56</f>
        <v>4600</v>
      </c>
      <c r="T56" s="208">
        <f t="shared" ref="T56:AD56" si="96">$E$56</f>
        <v>4600</v>
      </c>
      <c r="U56" s="208">
        <f t="shared" si="96"/>
        <v>4600</v>
      </c>
      <c r="V56" s="208">
        <f t="shared" si="96"/>
        <v>4600</v>
      </c>
      <c r="W56" s="208">
        <f t="shared" si="96"/>
        <v>4600</v>
      </c>
      <c r="X56" s="208">
        <f t="shared" si="96"/>
        <v>4600</v>
      </c>
      <c r="Y56" s="208">
        <f t="shared" si="96"/>
        <v>4600</v>
      </c>
      <c r="Z56" s="208">
        <f t="shared" si="96"/>
        <v>4600</v>
      </c>
      <c r="AA56" s="208">
        <f t="shared" si="96"/>
        <v>4600</v>
      </c>
      <c r="AB56" s="208">
        <f t="shared" si="96"/>
        <v>4600</v>
      </c>
      <c r="AC56" s="208">
        <f t="shared" si="96"/>
        <v>4600</v>
      </c>
      <c r="AD56" s="208">
        <f t="shared" si="96"/>
        <v>4600</v>
      </c>
      <c r="AE56" s="204">
        <f t="shared" si="90"/>
        <v>55200</v>
      </c>
      <c r="AF56" s="204">
        <f t="shared" si="86"/>
        <v>110400</v>
      </c>
    </row>
    <row r="57" spans="3:32" x14ac:dyDescent="0.35">
      <c r="C57" s="215" t="str">
        <f>Расходы!C35</f>
        <v>DXBX</v>
      </c>
      <c r="D57" s="216"/>
      <c r="E57" s="202">
        <f>Расходы!E35</f>
        <v>8240</v>
      </c>
      <c r="F57" s="208">
        <f>$E$57</f>
        <v>8240</v>
      </c>
      <c r="G57" s="208">
        <f t="shared" ref="G57:Q57" si="97">$E$57</f>
        <v>8240</v>
      </c>
      <c r="H57" s="208">
        <f t="shared" si="97"/>
        <v>8240</v>
      </c>
      <c r="I57" s="208">
        <f t="shared" si="97"/>
        <v>8240</v>
      </c>
      <c r="J57" s="208">
        <f t="shared" si="97"/>
        <v>8240</v>
      </c>
      <c r="K57" s="208">
        <f t="shared" si="97"/>
        <v>8240</v>
      </c>
      <c r="L57" s="208">
        <f t="shared" si="97"/>
        <v>8240</v>
      </c>
      <c r="M57" s="208">
        <f t="shared" si="97"/>
        <v>8240</v>
      </c>
      <c r="N57" s="208">
        <f t="shared" si="97"/>
        <v>8240</v>
      </c>
      <c r="O57" s="208">
        <f t="shared" si="97"/>
        <v>8240</v>
      </c>
      <c r="P57" s="208">
        <f t="shared" si="97"/>
        <v>8240</v>
      </c>
      <c r="Q57" s="208">
        <f t="shared" si="97"/>
        <v>8240</v>
      </c>
      <c r="R57" s="204">
        <f t="shared" si="88"/>
        <v>98880</v>
      </c>
      <c r="S57" s="208">
        <f>$E$57</f>
        <v>8240</v>
      </c>
      <c r="T57" s="208">
        <f t="shared" ref="T57:AD57" si="98">$E$57</f>
        <v>8240</v>
      </c>
      <c r="U57" s="208">
        <f t="shared" si="98"/>
        <v>8240</v>
      </c>
      <c r="V57" s="208">
        <f t="shared" si="98"/>
        <v>8240</v>
      </c>
      <c r="W57" s="208">
        <f t="shared" si="98"/>
        <v>8240</v>
      </c>
      <c r="X57" s="208">
        <f t="shared" si="98"/>
        <v>8240</v>
      </c>
      <c r="Y57" s="208">
        <f t="shared" si="98"/>
        <v>8240</v>
      </c>
      <c r="Z57" s="208">
        <f t="shared" si="98"/>
        <v>8240</v>
      </c>
      <c r="AA57" s="208">
        <f t="shared" si="98"/>
        <v>8240</v>
      </c>
      <c r="AB57" s="208">
        <f t="shared" si="98"/>
        <v>8240</v>
      </c>
      <c r="AC57" s="208">
        <f t="shared" si="98"/>
        <v>8240</v>
      </c>
      <c r="AD57" s="208">
        <f t="shared" si="98"/>
        <v>8240</v>
      </c>
      <c r="AE57" s="204">
        <f t="shared" si="90"/>
        <v>98880</v>
      </c>
      <c r="AF57" s="204">
        <f t="shared" si="86"/>
        <v>197760</v>
      </c>
    </row>
    <row r="58" spans="3:32" x14ac:dyDescent="0.35">
      <c r="C58" s="215" t="str">
        <f>Расходы!C36</f>
        <v>Пожарная безопасность и охрана</v>
      </c>
      <c r="D58" s="216"/>
      <c r="E58" s="202">
        <f>Расходы!E36</f>
        <v>3280</v>
      </c>
      <c r="F58" s="208">
        <f>$E$58</f>
        <v>3280</v>
      </c>
      <c r="G58" s="208">
        <f t="shared" ref="G58:Q58" si="99">$E$58</f>
        <v>3280</v>
      </c>
      <c r="H58" s="208">
        <f t="shared" si="99"/>
        <v>3280</v>
      </c>
      <c r="I58" s="208">
        <f t="shared" si="99"/>
        <v>3280</v>
      </c>
      <c r="J58" s="208">
        <f t="shared" si="99"/>
        <v>3280</v>
      </c>
      <c r="K58" s="208">
        <f t="shared" si="99"/>
        <v>3280</v>
      </c>
      <c r="L58" s="208">
        <f t="shared" si="99"/>
        <v>3280</v>
      </c>
      <c r="M58" s="208">
        <f t="shared" si="99"/>
        <v>3280</v>
      </c>
      <c r="N58" s="208">
        <f t="shared" si="99"/>
        <v>3280</v>
      </c>
      <c r="O58" s="208">
        <f t="shared" si="99"/>
        <v>3280</v>
      </c>
      <c r="P58" s="208">
        <f t="shared" si="99"/>
        <v>3280</v>
      </c>
      <c r="Q58" s="208">
        <f t="shared" si="99"/>
        <v>3280</v>
      </c>
      <c r="R58" s="204">
        <f t="shared" si="88"/>
        <v>39360</v>
      </c>
      <c r="S58" s="208">
        <f>$E$58</f>
        <v>3280</v>
      </c>
      <c r="T58" s="208">
        <f t="shared" ref="T58:AD58" si="100">$E$58</f>
        <v>3280</v>
      </c>
      <c r="U58" s="208">
        <f t="shared" si="100"/>
        <v>3280</v>
      </c>
      <c r="V58" s="208">
        <f t="shared" si="100"/>
        <v>3280</v>
      </c>
      <c r="W58" s="208">
        <f t="shared" si="100"/>
        <v>3280</v>
      </c>
      <c r="X58" s="208">
        <f t="shared" si="100"/>
        <v>3280</v>
      </c>
      <c r="Y58" s="208">
        <f t="shared" si="100"/>
        <v>3280</v>
      </c>
      <c r="Z58" s="208">
        <f t="shared" si="100"/>
        <v>3280</v>
      </c>
      <c r="AA58" s="208">
        <f t="shared" si="100"/>
        <v>3280</v>
      </c>
      <c r="AB58" s="208">
        <f t="shared" si="100"/>
        <v>3280</v>
      </c>
      <c r="AC58" s="208">
        <f t="shared" si="100"/>
        <v>3280</v>
      </c>
      <c r="AD58" s="208">
        <f t="shared" si="100"/>
        <v>3280</v>
      </c>
      <c r="AE58" s="204">
        <f t="shared" si="90"/>
        <v>39360</v>
      </c>
      <c r="AF58" s="204">
        <f t="shared" si="86"/>
        <v>78720</v>
      </c>
    </row>
    <row r="59" spans="3:32" x14ac:dyDescent="0.35">
      <c r="C59" s="215" t="str">
        <f>Расходы!C37</f>
        <v>Расходы на СЭС</v>
      </c>
      <c r="D59" s="216"/>
      <c r="E59" s="202">
        <f>Расходы!E37</f>
        <v>50000</v>
      </c>
      <c r="F59" s="208">
        <f>$E$59</f>
        <v>50000</v>
      </c>
      <c r="G59" s="208">
        <f t="shared" ref="G59:Q59" si="101">$E$59</f>
        <v>50000</v>
      </c>
      <c r="H59" s="208">
        <f t="shared" si="101"/>
        <v>50000</v>
      </c>
      <c r="I59" s="208">
        <f t="shared" si="101"/>
        <v>50000</v>
      </c>
      <c r="J59" s="208">
        <f t="shared" si="101"/>
        <v>50000</v>
      </c>
      <c r="K59" s="208">
        <f t="shared" si="101"/>
        <v>50000</v>
      </c>
      <c r="L59" s="208">
        <f t="shared" si="101"/>
        <v>50000</v>
      </c>
      <c r="M59" s="208">
        <f t="shared" si="101"/>
        <v>50000</v>
      </c>
      <c r="N59" s="208">
        <f t="shared" si="101"/>
        <v>50000</v>
      </c>
      <c r="O59" s="208">
        <f t="shared" si="101"/>
        <v>50000</v>
      </c>
      <c r="P59" s="208">
        <f t="shared" si="101"/>
        <v>50000</v>
      </c>
      <c r="Q59" s="208">
        <f t="shared" si="101"/>
        <v>50000</v>
      </c>
      <c r="R59" s="204">
        <f t="shared" si="88"/>
        <v>600000</v>
      </c>
      <c r="S59" s="208">
        <f>$E$59</f>
        <v>50000</v>
      </c>
      <c r="T59" s="208">
        <f t="shared" ref="T59:AD59" si="102">$E$59</f>
        <v>50000</v>
      </c>
      <c r="U59" s="208">
        <f t="shared" si="102"/>
        <v>50000</v>
      </c>
      <c r="V59" s="208">
        <f t="shared" si="102"/>
        <v>50000</v>
      </c>
      <c r="W59" s="208">
        <f t="shared" si="102"/>
        <v>50000</v>
      </c>
      <c r="X59" s="208">
        <f t="shared" si="102"/>
        <v>50000</v>
      </c>
      <c r="Y59" s="208">
        <f t="shared" si="102"/>
        <v>50000</v>
      </c>
      <c r="Z59" s="208">
        <f t="shared" si="102"/>
        <v>50000</v>
      </c>
      <c r="AA59" s="208">
        <f t="shared" si="102"/>
        <v>50000</v>
      </c>
      <c r="AB59" s="208">
        <f t="shared" si="102"/>
        <v>50000</v>
      </c>
      <c r="AC59" s="208">
        <f t="shared" si="102"/>
        <v>50000</v>
      </c>
      <c r="AD59" s="208">
        <f t="shared" si="102"/>
        <v>50000</v>
      </c>
      <c r="AE59" s="204">
        <f t="shared" si="90"/>
        <v>600000</v>
      </c>
      <c r="AF59" s="204">
        <f t="shared" si="86"/>
        <v>1200000</v>
      </c>
    </row>
    <row r="60" spans="3:32" x14ac:dyDescent="0.35">
      <c r="C60" s="215" t="str">
        <f>Расходы!C38</f>
        <v>Расходы на дезинфекцию</v>
      </c>
      <c r="D60" s="216"/>
      <c r="E60" s="202">
        <f>Расходы!E38</f>
        <v>6000</v>
      </c>
      <c r="F60" s="208">
        <f>$E$60</f>
        <v>6000</v>
      </c>
      <c r="G60" s="208">
        <f t="shared" ref="G60:AD60" si="103">$E$60</f>
        <v>6000</v>
      </c>
      <c r="H60" s="208">
        <f t="shared" si="103"/>
        <v>6000</v>
      </c>
      <c r="I60" s="208">
        <f t="shared" si="103"/>
        <v>6000</v>
      </c>
      <c r="J60" s="208">
        <f t="shared" si="103"/>
        <v>6000</v>
      </c>
      <c r="K60" s="208">
        <f t="shared" si="103"/>
        <v>6000</v>
      </c>
      <c r="L60" s="208">
        <f t="shared" si="103"/>
        <v>6000</v>
      </c>
      <c r="M60" s="208">
        <f t="shared" si="103"/>
        <v>6000</v>
      </c>
      <c r="N60" s="208">
        <f t="shared" si="103"/>
        <v>6000</v>
      </c>
      <c r="O60" s="208">
        <f t="shared" si="103"/>
        <v>6000</v>
      </c>
      <c r="P60" s="208">
        <f t="shared" si="103"/>
        <v>6000</v>
      </c>
      <c r="Q60" s="208">
        <f t="shared" si="103"/>
        <v>6000</v>
      </c>
      <c r="R60" s="204">
        <f t="shared" si="88"/>
        <v>72000</v>
      </c>
      <c r="S60" s="208">
        <f t="shared" si="103"/>
        <v>6000</v>
      </c>
      <c r="T60" s="208">
        <f t="shared" si="103"/>
        <v>6000</v>
      </c>
      <c r="U60" s="208">
        <f t="shared" si="103"/>
        <v>6000</v>
      </c>
      <c r="V60" s="208">
        <f t="shared" si="103"/>
        <v>6000</v>
      </c>
      <c r="W60" s="208">
        <f t="shared" si="103"/>
        <v>6000</v>
      </c>
      <c r="X60" s="208">
        <f t="shared" si="103"/>
        <v>6000</v>
      </c>
      <c r="Y60" s="208">
        <f t="shared" si="103"/>
        <v>6000</v>
      </c>
      <c r="Z60" s="208">
        <f t="shared" si="103"/>
        <v>6000</v>
      </c>
      <c r="AA60" s="208">
        <f t="shared" si="103"/>
        <v>6000</v>
      </c>
      <c r="AB60" s="208">
        <f t="shared" si="103"/>
        <v>6000</v>
      </c>
      <c r="AC60" s="208">
        <f t="shared" si="103"/>
        <v>6000</v>
      </c>
      <c r="AD60" s="208">
        <f t="shared" si="103"/>
        <v>6000</v>
      </c>
      <c r="AE60" s="204">
        <f t="shared" si="90"/>
        <v>72000</v>
      </c>
      <c r="AF60" s="204">
        <f t="shared" si="86"/>
        <v>144000</v>
      </c>
    </row>
    <row r="61" spans="3:32" x14ac:dyDescent="0.35">
      <c r="C61" s="215" t="str">
        <f>Расходы!C39</f>
        <v>Вывоз мусора</v>
      </c>
      <c r="D61" s="216"/>
      <c r="E61" s="202">
        <f>Расходы!E39</f>
        <v>29000</v>
      </c>
      <c r="F61" s="208">
        <f>$E$61</f>
        <v>29000</v>
      </c>
      <c r="G61" s="208">
        <f t="shared" ref="G61:Q61" si="104">$E$61</f>
        <v>29000</v>
      </c>
      <c r="H61" s="208">
        <f t="shared" si="104"/>
        <v>29000</v>
      </c>
      <c r="I61" s="208">
        <f t="shared" si="104"/>
        <v>29000</v>
      </c>
      <c r="J61" s="208">
        <f t="shared" si="104"/>
        <v>29000</v>
      </c>
      <c r="K61" s="208">
        <f t="shared" si="104"/>
        <v>29000</v>
      </c>
      <c r="L61" s="208">
        <f t="shared" si="104"/>
        <v>29000</v>
      </c>
      <c r="M61" s="208">
        <f t="shared" si="104"/>
        <v>29000</v>
      </c>
      <c r="N61" s="208">
        <f t="shared" si="104"/>
        <v>29000</v>
      </c>
      <c r="O61" s="208">
        <f t="shared" si="104"/>
        <v>29000</v>
      </c>
      <c r="P61" s="208">
        <f t="shared" si="104"/>
        <v>29000</v>
      </c>
      <c r="Q61" s="208">
        <f t="shared" si="104"/>
        <v>29000</v>
      </c>
      <c r="R61" s="204">
        <f t="shared" si="88"/>
        <v>348000</v>
      </c>
      <c r="S61" s="208">
        <f>$E$61</f>
        <v>29000</v>
      </c>
      <c r="T61" s="208">
        <f t="shared" ref="T61:AD61" si="105">$E$61</f>
        <v>29000</v>
      </c>
      <c r="U61" s="208">
        <f t="shared" si="105"/>
        <v>29000</v>
      </c>
      <c r="V61" s="208">
        <f t="shared" si="105"/>
        <v>29000</v>
      </c>
      <c r="W61" s="208">
        <f t="shared" si="105"/>
        <v>29000</v>
      </c>
      <c r="X61" s="208">
        <f t="shared" si="105"/>
        <v>29000</v>
      </c>
      <c r="Y61" s="208">
        <f t="shared" si="105"/>
        <v>29000</v>
      </c>
      <c r="Z61" s="208">
        <f t="shared" si="105"/>
        <v>29000</v>
      </c>
      <c r="AA61" s="208">
        <f t="shared" si="105"/>
        <v>29000</v>
      </c>
      <c r="AB61" s="208">
        <f t="shared" si="105"/>
        <v>29000</v>
      </c>
      <c r="AC61" s="208">
        <f t="shared" si="105"/>
        <v>29000</v>
      </c>
      <c r="AD61" s="208">
        <f t="shared" si="105"/>
        <v>29000</v>
      </c>
      <c r="AE61" s="204">
        <f t="shared" si="90"/>
        <v>348000</v>
      </c>
      <c r="AF61" s="204">
        <f t="shared" si="86"/>
        <v>696000</v>
      </c>
    </row>
    <row r="62" spans="3:32" x14ac:dyDescent="0.35">
      <c r="C62" s="215" t="str">
        <f>Расходы!C40</f>
        <v>Прочие расходы</v>
      </c>
      <c r="D62" s="216"/>
      <c r="E62" s="202">
        <f>Расходы!E40</f>
        <v>2000</v>
      </c>
      <c r="F62" s="208">
        <f>$E$62</f>
        <v>2000</v>
      </c>
      <c r="G62" s="208">
        <f t="shared" ref="G62:Q62" si="106">$E$62</f>
        <v>2000</v>
      </c>
      <c r="H62" s="208">
        <f t="shared" si="106"/>
        <v>2000</v>
      </c>
      <c r="I62" s="208">
        <f t="shared" si="106"/>
        <v>2000</v>
      </c>
      <c r="J62" s="208">
        <f t="shared" si="106"/>
        <v>2000</v>
      </c>
      <c r="K62" s="208">
        <f t="shared" si="106"/>
        <v>2000</v>
      </c>
      <c r="L62" s="208">
        <f t="shared" si="106"/>
        <v>2000</v>
      </c>
      <c r="M62" s="208">
        <f t="shared" si="106"/>
        <v>2000</v>
      </c>
      <c r="N62" s="208">
        <f t="shared" si="106"/>
        <v>2000</v>
      </c>
      <c r="O62" s="208">
        <f t="shared" si="106"/>
        <v>2000</v>
      </c>
      <c r="P62" s="208">
        <f t="shared" si="106"/>
        <v>2000</v>
      </c>
      <c r="Q62" s="208">
        <f t="shared" si="106"/>
        <v>2000</v>
      </c>
      <c r="R62" s="204">
        <f t="shared" si="88"/>
        <v>24000</v>
      </c>
      <c r="S62" s="208">
        <f>$E$62</f>
        <v>2000</v>
      </c>
      <c r="T62" s="208">
        <f t="shared" ref="T62:AD62" si="107">$E$62</f>
        <v>2000</v>
      </c>
      <c r="U62" s="208">
        <f t="shared" si="107"/>
        <v>2000</v>
      </c>
      <c r="V62" s="208">
        <f t="shared" si="107"/>
        <v>2000</v>
      </c>
      <c r="W62" s="208">
        <f t="shared" si="107"/>
        <v>2000</v>
      </c>
      <c r="X62" s="208">
        <f t="shared" si="107"/>
        <v>2000</v>
      </c>
      <c r="Y62" s="208">
        <f t="shared" si="107"/>
        <v>2000</v>
      </c>
      <c r="Z62" s="208">
        <f t="shared" si="107"/>
        <v>2000</v>
      </c>
      <c r="AA62" s="208">
        <f t="shared" si="107"/>
        <v>2000</v>
      </c>
      <c r="AB62" s="208">
        <f t="shared" si="107"/>
        <v>2000</v>
      </c>
      <c r="AC62" s="208">
        <f t="shared" si="107"/>
        <v>2000</v>
      </c>
      <c r="AD62" s="208">
        <f t="shared" si="107"/>
        <v>2000</v>
      </c>
      <c r="AE62" s="204">
        <f t="shared" ref="AE62" si="108">SUM(S62:AD62)</f>
        <v>24000</v>
      </c>
      <c r="AF62" s="204">
        <f t="shared" si="86"/>
        <v>48000</v>
      </c>
    </row>
    <row r="63" spans="3:32" x14ac:dyDescent="0.35">
      <c r="C63" s="215"/>
      <c r="D63" s="216"/>
      <c r="E63" s="21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4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4"/>
      <c r="AF63" s="204"/>
    </row>
    <row r="64" spans="3:32" x14ac:dyDescent="0.35">
      <c r="C64" s="210" t="str">
        <f>Расходы!C42</f>
        <v>Прочие переменные расходы</v>
      </c>
      <c r="D64" s="216"/>
      <c r="E64" s="218"/>
      <c r="F64" s="196">
        <f t="shared" ref="F64:AE64" si="109">SUBTOTAL(9,F65:F66)</f>
        <v>166800.4</v>
      </c>
      <c r="G64" s="196">
        <f t="shared" si="109"/>
        <v>183480.44</v>
      </c>
      <c r="H64" s="196">
        <f t="shared" si="109"/>
        <v>200160.48</v>
      </c>
      <c r="I64" s="196">
        <f t="shared" si="109"/>
        <v>216840.52</v>
      </c>
      <c r="J64" s="196">
        <f t="shared" si="109"/>
        <v>233520.56</v>
      </c>
      <c r="K64" s="196">
        <f t="shared" si="109"/>
        <v>250200.6</v>
      </c>
      <c r="L64" s="196">
        <f t="shared" si="109"/>
        <v>266880.64000000001</v>
      </c>
      <c r="M64" s="196">
        <f t="shared" si="109"/>
        <v>283560.68</v>
      </c>
      <c r="N64" s="196">
        <f t="shared" si="109"/>
        <v>300240.71999999997</v>
      </c>
      <c r="O64" s="196">
        <f t="shared" si="109"/>
        <v>312750.75</v>
      </c>
      <c r="P64" s="196">
        <f t="shared" si="109"/>
        <v>316920.76</v>
      </c>
      <c r="Q64" s="196">
        <f t="shared" si="109"/>
        <v>325260.78000000003</v>
      </c>
      <c r="R64" s="197">
        <f t="shared" si="109"/>
        <v>3056617.33</v>
      </c>
      <c r="S64" s="196">
        <f t="shared" si="109"/>
        <v>387418.94906000001</v>
      </c>
      <c r="T64" s="196">
        <f t="shared" si="109"/>
        <v>352199.04460000002</v>
      </c>
      <c r="U64" s="196">
        <f t="shared" si="109"/>
        <v>320844.73940999998</v>
      </c>
      <c r="V64" s="196">
        <f t="shared" si="109"/>
        <v>324710.33867999999</v>
      </c>
      <c r="W64" s="196">
        <f t="shared" si="109"/>
        <v>328575.93794999999</v>
      </c>
      <c r="X64" s="196">
        <f t="shared" si="109"/>
        <v>406317.43438000005</v>
      </c>
      <c r="Y64" s="196">
        <f t="shared" si="109"/>
        <v>411042.05571000004</v>
      </c>
      <c r="Z64" s="196">
        <f t="shared" si="109"/>
        <v>377969.70640000002</v>
      </c>
      <c r="AA64" s="196">
        <f t="shared" si="109"/>
        <v>415766.67704000004</v>
      </c>
      <c r="AB64" s="196">
        <f t="shared" si="109"/>
        <v>344038.33503000002</v>
      </c>
      <c r="AC64" s="196">
        <f t="shared" si="109"/>
        <v>386559.92700000003</v>
      </c>
      <c r="AD64" s="196">
        <f t="shared" si="109"/>
        <v>390855.03730000003</v>
      </c>
      <c r="AE64" s="197">
        <f t="shared" si="109"/>
        <v>4446298.1825599996</v>
      </c>
      <c r="AF64" s="197">
        <f t="shared" si="86"/>
        <v>7502915.5125599997</v>
      </c>
    </row>
    <row r="65" spans="1:46" x14ac:dyDescent="0.35">
      <c r="C65" s="215" t="str">
        <f>Расходы!C45</f>
        <v>Расходы на упаковку</v>
      </c>
      <c r="D65" s="226" t="str">
        <f>Расходы!D45</f>
        <v xml:space="preserve"> % от выручки самовывоза и доставки</v>
      </c>
      <c r="E65" s="214">
        <f>Расходы!E45</f>
        <v>0.05</v>
      </c>
      <c r="F65" s="208">
        <f t="shared" ref="F65:Q65" si="110">$E$65*(F28+F27)</f>
        <v>160000</v>
      </c>
      <c r="G65" s="208">
        <f t="shared" si="110"/>
        <v>176000</v>
      </c>
      <c r="H65" s="208">
        <f t="shared" si="110"/>
        <v>192000</v>
      </c>
      <c r="I65" s="208">
        <f t="shared" si="110"/>
        <v>208000</v>
      </c>
      <c r="J65" s="208">
        <f t="shared" si="110"/>
        <v>224000</v>
      </c>
      <c r="K65" s="208">
        <f t="shared" si="110"/>
        <v>240000</v>
      </c>
      <c r="L65" s="208">
        <f t="shared" si="110"/>
        <v>256000</v>
      </c>
      <c r="M65" s="208">
        <f t="shared" si="110"/>
        <v>272000</v>
      </c>
      <c r="N65" s="208">
        <f t="shared" si="110"/>
        <v>288000</v>
      </c>
      <c r="O65" s="208">
        <f t="shared" si="110"/>
        <v>300000</v>
      </c>
      <c r="P65" s="208">
        <f t="shared" si="110"/>
        <v>304000</v>
      </c>
      <c r="Q65" s="208">
        <f t="shared" si="110"/>
        <v>312000</v>
      </c>
      <c r="R65" s="204">
        <f>SUM(F65:Q65)</f>
        <v>2932000</v>
      </c>
      <c r="S65" s="208">
        <f t="shared" ref="S65:AD65" si="111">$E$65*(S28+S27)</f>
        <v>371624</v>
      </c>
      <c r="T65" s="208">
        <f t="shared" si="111"/>
        <v>337840</v>
      </c>
      <c r="U65" s="208">
        <f t="shared" si="111"/>
        <v>307764</v>
      </c>
      <c r="V65" s="208">
        <f t="shared" si="111"/>
        <v>311472</v>
      </c>
      <c r="W65" s="208">
        <f t="shared" si="111"/>
        <v>315180</v>
      </c>
      <c r="X65" s="208">
        <f t="shared" si="111"/>
        <v>389752.00000000006</v>
      </c>
      <c r="Y65" s="208">
        <f t="shared" si="111"/>
        <v>394284.00000000006</v>
      </c>
      <c r="Z65" s="208">
        <f t="shared" si="111"/>
        <v>362560</v>
      </c>
      <c r="AA65" s="208">
        <f t="shared" si="111"/>
        <v>398816.00000000006</v>
      </c>
      <c r="AB65" s="208">
        <f t="shared" si="111"/>
        <v>330012</v>
      </c>
      <c r="AC65" s="208">
        <f t="shared" si="111"/>
        <v>370800</v>
      </c>
      <c r="AD65" s="208">
        <f t="shared" si="111"/>
        <v>374920</v>
      </c>
      <c r="AE65" s="204">
        <f>SUM(S65:AD65)</f>
        <v>4265024</v>
      </c>
      <c r="AF65" s="204">
        <f>SUM(AE65,R65)</f>
        <v>7197024</v>
      </c>
    </row>
    <row r="66" spans="1:46" x14ac:dyDescent="0.35">
      <c r="C66" s="215" t="str">
        <f>Расходы!C44</f>
        <v>Списания</v>
      </c>
      <c r="D66" s="226" t="str">
        <f>Расходы!D44</f>
        <v xml:space="preserve"> % от выручки </v>
      </c>
      <c r="E66" s="227">
        <f>Расходы!E44</f>
        <v>1.8E-3</v>
      </c>
      <c r="F66" s="208">
        <f t="shared" ref="F66:Q66" si="112">$E$66*F$23</f>
        <v>6800.4</v>
      </c>
      <c r="G66" s="208">
        <f t="shared" si="112"/>
        <v>7480.44</v>
      </c>
      <c r="H66" s="208">
        <f t="shared" si="112"/>
        <v>8160.48</v>
      </c>
      <c r="I66" s="208">
        <f t="shared" si="112"/>
        <v>8840.52</v>
      </c>
      <c r="J66" s="208">
        <f t="shared" si="112"/>
        <v>9520.56</v>
      </c>
      <c r="K66" s="208">
        <f t="shared" si="112"/>
        <v>10200.6</v>
      </c>
      <c r="L66" s="208">
        <f t="shared" si="112"/>
        <v>10880.64</v>
      </c>
      <c r="M66" s="208">
        <f t="shared" si="112"/>
        <v>11560.68</v>
      </c>
      <c r="N66" s="208">
        <f t="shared" si="112"/>
        <v>12240.72</v>
      </c>
      <c r="O66" s="208">
        <f t="shared" si="112"/>
        <v>12750.75</v>
      </c>
      <c r="P66" s="208">
        <f t="shared" si="112"/>
        <v>12920.76</v>
      </c>
      <c r="Q66" s="208">
        <f t="shared" si="112"/>
        <v>13260.779999999999</v>
      </c>
      <c r="R66" s="204">
        <f t="shared" ref="R66" si="113">SUM(F66:Q66)</f>
        <v>124617.33</v>
      </c>
      <c r="S66" s="208">
        <f t="shared" ref="S66:AD66" si="114">$E$66*S$23</f>
        <v>15794.949059999999</v>
      </c>
      <c r="T66" s="208">
        <f t="shared" si="114"/>
        <v>14359.044599999999</v>
      </c>
      <c r="U66" s="208">
        <f t="shared" si="114"/>
        <v>13080.73941</v>
      </c>
      <c r="V66" s="208">
        <f t="shared" si="114"/>
        <v>13238.338679999999</v>
      </c>
      <c r="W66" s="208">
        <f t="shared" si="114"/>
        <v>13395.93795</v>
      </c>
      <c r="X66" s="208">
        <f t="shared" si="114"/>
        <v>16565.434380000002</v>
      </c>
      <c r="Y66" s="208">
        <f t="shared" si="114"/>
        <v>16758.055710000001</v>
      </c>
      <c r="Z66" s="208">
        <f t="shared" si="114"/>
        <v>15409.706399999999</v>
      </c>
      <c r="AA66" s="208">
        <f t="shared" si="114"/>
        <v>16950.677040000002</v>
      </c>
      <c r="AB66" s="208">
        <f t="shared" si="114"/>
        <v>14026.335029999998</v>
      </c>
      <c r="AC66" s="208">
        <f t="shared" si="114"/>
        <v>15759.927</v>
      </c>
      <c r="AD66" s="208">
        <f t="shared" si="114"/>
        <v>15935.0373</v>
      </c>
      <c r="AE66" s="204">
        <f t="shared" ref="AE66" si="115">SUM(S66:AD66)</f>
        <v>181274.18255999999</v>
      </c>
      <c r="AF66" s="204">
        <f t="shared" si="86"/>
        <v>305891.51256</v>
      </c>
    </row>
    <row r="67" spans="1:46" x14ac:dyDescent="0.35">
      <c r="C67" s="228"/>
      <c r="D67" s="225"/>
      <c r="E67" s="21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4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4"/>
      <c r="AF67" s="204"/>
    </row>
    <row r="68" spans="1:46" x14ac:dyDescent="0.35">
      <c r="C68" s="229" t="s">
        <v>154</v>
      </c>
      <c r="D68" s="226"/>
      <c r="E68" s="230"/>
      <c r="F68" s="196">
        <v>0</v>
      </c>
      <c r="G68" s="196">
        <f t="shared" ref="G68:Q68" si="116">G69*G23</f>
        <v>41558</v>
      </c>
      <c r="H68" s="196">
        <f t="shared" si="116"/>
        <v>68004</v>
      </c>
      <c r="I68" s="196">
        <f t="shared" si="116"/>
        <v>73671</v>
      </c>
      <c r="J68" s="196">
        <f t="shared" si="116"/>
        <v>79338</v>
      </c>
      <c r="K68" s="196">
        <f t="shared" si="116"/>
        <v>85005</v>
      </c>
      <c r="L68" s="196">
        <f t="shared" si="116"/>
        <v>90672</v>
      </c>
      <c r="M68" s="196">
        <f t="shared" si="116"/>
        <v>96339</v>
      </c>
      <c r="N68" s="196">
        <f t="shared" si="116"/>
        <v>102006</v>
      </c>
      <c r="O68" s="196">
        <f t="shared" si="116"/>
        <v>106256.25</v>
      </c>
      <c r="P68" s="196">
        <f t="shared" si="116"/>
        <v>107673</v>
      </c>
      <c r="Q68" s="196">
        <f t="shared" si="116"/>
        <v>110506.5</v>
      </c>
      <c r="R68" s="197">
        <f>SUM(F68:Q68)</f>
        <v>961028.75</v>
      </c>
      <c r="S68" s="196">
        <f>S69*S23</f>
        <v>131624.57549999998</v>
      </c>
      <c r="T68" s="196">
        <f t="shared" ref="T68" si="117">T69*T23</f>
        <v>119658.705</v>
      </c>
      <c r="U68" s="196">
        <f t="shared" ref="U68" si="118">U69*U23</f>
        <v>109006.16175</v>
      </c>
      <c r="V68" s="196">
        <f t="shared" ref="V68" si="119">V69*V23</f>
        <v>110319.48899999999</v>
      </c>
      <c r="W68" s="196">
        <f t="shared" ref="W68" si="120">W69*W23</f>
        <v>111632.81624999999</v>
      </c>
      <c r="X68" s="196">
        <f t="shared" ref="X68" si="121">X69*X23</f>
        <v>138045.28650000002</v>
      </c>
      <c r="Y68" s="196">
        <f t="shared" ref="Y68" si="122">Y69*Y23</f>
        <v>139650.46425000002</v>
      </c>
      <c r="Z68" s="196">
        <f t="shared" ref="Z68" si="123">Z69*Z23</f>
        <v>128414.22</v>
      </c>
      <c r="AA68" s="196">
        <f t="shared" ref="AA68" si="124">AA69*AA23</f>
        <v>141255.64199999999</v>
      </c>
      <c r="AB68" s="196">
        <f t="shared" ref="AB68" si="125">AB69*AB23</f>
        <v>116886.12525</v>
      </c>
      <c r="AC68" s="196">
        <f t="shared" ref="AC68" si="126">AC69*AC23</f>
        <v>131332.72500000001</v>
      </c>
      <c r="AD68" s="196">
        <f t="shared" ref="AD68" si="127">AD69*AD23</f>
        <v>132791.97750000001</v>
      </c>
      <c r="AE68" s="197">
        <f>SUM(S68:AD68)</f>
        <v>1510618.1880000001</v>
      </c>
      <c r="AF68" s="197">
        <f>SUM(AE68,R68)</f>
        <v>2471646.9380000001</v>
      </c>
    </row>
    <row r="69" spans="1:46" x14ac:dyDescent="0.35">
      <c r="C69" s="216" t="s">
        <v>152</v>
      </c>
      <c r="D69" s="225"/>
      <c r="E69" s="218" t="s">
        <v>114</v>
      </c>
      <c r="F69" s="231">
        <v>0</v>
      </c>
      <c r="G69" s="231">
        <f>IF(G23&gt;Расходы!$D$59,Расходы!$D$60,INDEX(Расходы!$E$60:$F$60,MATCH(G23,Расходы!$E$59:$F$59,-1)))</f>
        <v>0.01</v>
      </c>
      <c r="H69" s="231">
        <f>IF(H23&gt;Расходы!$D$59,Расходы!$D$60,INDEX(Расходы!$E$60:$F$60,MATCH(H23,Расходы!$E$59:$F$59,-1)))</f>
        <v>1.4999999999999999E-2</v>
      </c>
      <c r="I69" s="231">
        <f>IF(I23&gt;Расходы!$D$59,Расходы!$D$60,INDEX(Расходы!$E$60:$F$60,MATCH(I23,Расходы!$E$59:$F$59,-1)))</f>
        <v>1.4999999999999999E-2</v>
      </c>
      <c r="J69" s="231">
        <f>IF(J23&gt;Расходы!$D$59,Расходы!$D$60,INDEX(Расходы!$E$60:$F$60,MATCH(J23,Расходы!$E$59:$F$59,-1)))</f>
        <v>1.4999999999999999E-2</v>
      </c>
      <c r="K69" s="231">
        <f>IF(K23&gt;Расходы!$D$59,Расходы!$D$60,INDEX(Расходы!$E$60:$F$60,MATCH(K23,Расходы!$E$59:$F$59,-1)))</f>
        <v>1.4999999999999999E-2</v>
      </c>
      <c r="L69" s="231">
        <f>IF(L23&gt;Расходы!$D$59,Расходы!$D$60,INDEX(Расходы!$E$60:$F$60,MATCH(L23,Расходы!$E$59:$F$59,-1)))</f>
        <v>1.4999999999999999E-2</v>
      </c>
      <c r="M69" s="231">
        <f>IF(M23&gt;Расходы!$D$59,Расходы!$D$60,INDEX(Расходы!$E$60:$F$60,MATCH(M23,Расходы!$E$59:$F$59,-1)))</f>
        <v>1.4999999999999999E-2</v>
      </c>
      <c r="N69" s="231">
        <f>IF(N23&gt;Расходы!$D$59,Расходы!$D$60,INDEX(Расходы!$E$60:$F$60,MATCH(N23,Расходы!$E$59:$F$59,-1)))</f>
        <v>1.4999999999999999E-2</v>
      </c>
      <c r="O69" s="231">
        <f>IF(O23&gt;Расходы!$D$59,Расходы!$D$60,INDEX(Расходы!$E$60:$F$60,MATCH(O23,Расходы!$E$59:$F$59,-1)))</f>
        <v>1.4999999999999999E-2</v>
      </c>
      <c r="P69" s="231">
        <f>IF(P23&gt;Расходы!$D$59,Расходы!$D$60,INDEX(Расходы!$E$60:$F$60,MATCH(P23,Расходы!$E$59:$F$59,-1)))</f>
        <v>1.4999999999999999E-2</v>
      </c>
      <c r="Q69" s="231">
        <f>IF(Q23&gt;Расходы!$D$59,Расходы!$D$60,INDEX(Расходы!$E$60:$F$60,MATCH(Q23,Расходы!$E$59:$F$59,-1)))</f>
        <v>1.4999999999999999E-2</v>
      </c>
      <c r="R69" s="204"/>
      <c r="S69" s="231">
        <f>IF(S23&gt;Расходы!$D$59,Расходы!$D$60,INDEX(Расходы!$E$60:$F$60,MATCH(S23,Расходы!$E$59:$F$59,-1)))</f>
        <v>1.4999999999999999E-2</v>
      </c>
      <c r="T69" s="231">
        <f>IF(T23&gt;Расходы!$D$59,Расходы!$D$60,INDEX(Расходы!$E$60:$F$60,MATCH(T23,Расходы!$E$59:$F$59,-1)))</f>
        <v>1.4999999999999999E-2</v>
      </c>
      <c r="U69" s="231">
        <f>IF(U23&gt;Расходы!$D$59,Расходы!$D$60,INDEX(Расходы!$E$60:$F$60,MATCH(U23,Расходы!$E$59:$F$59,-1)))</f>
        <v>1.4999999999999999E-2</v>
      </c>
      <c r="V69" s="231">
        <f>IF(V23&gt;Расходы!$D$59,Расходы!$D$60,INDEX(Расходы!$E$60:$F$60,MATCH(V23,Расходы!$E$59:$F$59,-1)))</f>
        <v>1.4999999999999999E-2</v>
      </c>
      <c r="W69" s="231">
        <f>IF(W23&gt;Расходы!$D$59,Расходы!$D$60,INDEX(Расходы!$E$60:$F$60,MATCH(W23,Расходы!$E$59:$F$59,-1)))</f>
        <v>1.4999999999999999E-2</v>
      </c>
      <c r="X69" s="231">
        <f>IF(X23&gt;Расходы!$D$59,Расходы!$D$60,INDEX(Расходы!$E$60:$F$60,MATCH(X23,Расходы!$E$59:$F$59,-1)))</f>
        <v>1.4999999999999999E-2</v>
      </c>
      <c r="Y69" s="231">
        <f>IF(Y23&gt;Расходы!$D$59,Расходы!$D$60,INDEX(Расходы!$E$60:$F$60,MATCH(Y23,Расходы!$E$59:$F$59,-1)))</f>
        <v>1.4999999999999999E-2</v>
      </c>
      <c r="Z69" s="231">
        <f>IF(Z23&gt;Расходы!$D$59,Расходы!$D$60,INDEX(Расходы!$E$60:$F$60,MATCH(Z23,Расходы!$E$59:$F$59,-1)))</f>
        <v>1.4999999999999999E-2</v>
      </c>
      <c r="AA69" s="231">
        <f>IF(AA23&gt;Расходы!$D$59,Расходы!$D$60,INDEX(Расходы!$E$60:$F$60,MATCH(AA23,Расходы!$E$59:$F$59,-1)))</f>
        <v>1.4999999999999999E-2</v>
      </c>
      <c r="AB69" s="231">
        <f>IF(AB23&gt;Расходы!$D$59,Расходы!$D$60,INDEX(Расходы!$E$60:$F$60,MATCH(AB23,Расходы!$E$59:$F$59,-1)))</f>
        <v>1.4999999999999999E-2</v>
      </c>
      <c r="AC69" s="231">
        <f>IF(AC23&gt;Расходы!$D$59,Расходы!$D$60,INDEX(Расходы!$E$60:$F$60,MATCH(AC23,Расходы!$E$59:$F$59,-1)))</f>
        <v>1.4999999999999999E-2</v>
      </c>
      <c r="AD69" s="231">
        <f>IF(AD23&gt;Расходы!$D$59,Расходы!$D$60,INDEX(Расходы!$E$60:$F$60,MATCH(AD23,Расходы!$E$59:$F$59,-1)))</f>
        <v>1.4999999999999999E-2</v>
      </c>
      <c r="AE69" s="204"/>
      <c r="AF69" s="204"/>
    </row>
    <row r="70" spans="1:46" x14ac:dyDescent="0.35">
      <c r="C70" s="216"/>
      <c r="D70" s="225"/>
      <c r="E70" s="218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04"/>
      <c r="S70" s="232"/>
      <c r="T70" s="232"/>
      <c r="U70" s="232"/>
      <c r="V70" s="232"/>
      <c r="W70" s="232"/>
      <c r="X70" s="232"/>
      <c r="Y70" s="232"/>
      <c r="Z70" s="232"/>
      <c r="AA70" s="232"/>
      <c r="AB70" s="232"/>
      <c r="AC70" s="232"/>
      <c r="AD70" s="232"/>
      <c r="AE70" s="204"/>
      <c r="AF70" s="204"/>
    </row>
    <row r="71" spans="1:46" x14ac:dyDescent="0.35">
      <c r="C71" s="229" t="s">
        <v>123</v>
      </c>
      <c r="D71" s="226"/>
      <c r="E71" s="230"/>
      <c r="F71" s="196">
        <f t="shared" ref="F71:Q71" si="128">F72*F23</f>
        <v>151120</v>
      </c>
      <c r="G71" s="196">
        <f t="shared" si="128"/>
        <v>166232</v>
      </c>
      <c r="H71" s="196">
        <f t="shared" si="128"/>
        <v>272016</v>
      </c>
      <c r="I71" s="196">
        <f t="shared" si="128"/>
        <v>294684</v>
      </c>
      <c r="J71" s="196">
        <f t="shared" si="128"/>
        <v>317352</v>
      </c>
      <c r="K71" s="196">
        <f t="shared" si="128"/>
        <v>340020</v>
      </c>
      <c r="L71" s="196">
        <f t="shared" si="128"/>
        <v>362688</v>
      </c>
      <c r="M71" s="196">
        <f t="shared" si="128"/>
        <v>385356</v>
      </c>
      <c r="N71" s="196">
        <f t="shared" si="128"/>
        <v>408024</v>
      </c>
      <c r="O71" s="196">
        <f t="shared" si="128"/>
        <v>425025</v>
      </c>
      <c r="P71" s="196">
        <f t="shared" si="128"/>
        <v>430692</v>
      </c>
      <c r="Q71" s="196">
        <f t="shared" si="128"/>
        <v>442026</v>
      </c>
      <c r="R71" s="197">
        <f>SUM(F71:Q71)</f>
        <v>3995235</v>
      </c>
      <c r="S71" s="196">
        <f t="shared" ref="S71:AD71" si="129">S72*S23</f>
        <v>526498.30199999991</v>
      </c>
      <c r="T71" s="196">
        <f t="shared" si="129"/>
        <v>478634.82</v>
      </c>
      <c r="U71" s="196">
        <f t="shared" si="129"/>
        <v>436024.647</v>
      </c>
      <c r="V71" s="196">
        <f t="shared" si="129"/>
        <v>441277.95599999995</v>
      </c>
      <c r="W71" s="196">
        <f t="shared" si="129"/>
        <v>446531.26499999996</v>
      </c>
      <c r="X71" s="196">
        <f t="shared" si="129"/>
        <v>552181.14600000007</v>
      </c>
      <c r="Y71" s="196">
        <f t="shared" si="129"/>
        <v>558601.85700000008</v>
      </c>
      <c r="Z71" s="196">
        <f t="shared" si="129"/>
        <v>513656.88</v>
      </c>
      <c r="AA71" s="196">
        <f t="shared" si="129"/>
        <v>565022.56799999997</v>
      </c>
      <c r="AB71" s="196">
        <f t="shared" si="129"/>
        <v>467544.50099999999</v>
      </c>
      <c r="AC71" s="196">
        <f t="shared" si="129"/>
        <v>525330.9</v>
      </c>
      <c r="AD71" s="196">
        <f t="shared" si="129"/>
        <v>531167.91</v>
      </c>
      <c r="AE71" s="197">
        <f>SUM(S71:AD71)</f>
        <v>6042472.7520000003</v>
      </c>
      <c r="AF71" s="197">
        <f>SUM(AE71,R71)</f>
        <v>10037707.752</v>
      </c>
    </row>
    <row r="72" spans="1:46" x14ac:dyDescent="0.35">
      <c r="C72" s="216" t="s">
        <v>122</v>
      </c>
      <c r="D72" s="225"/>
      <c r="E72" s="218" t="s">
        <v>114</v>
      </c>
      <c r="F72" s="231">
        <f>IF(F23&gt;Расходы!$D$55,Расходы!$D$56,INDEX(Расходы!$E$56:$F$56,MATCH(F23,Расходы!$E$55:$F$55,-1)))</f>
        <v>0.04</v>
      </c>
      <c r="G72" s="231">
        <f>IF(G23&gt;Расходы!$D$55,Расходы!$D$56,INDEX(Расходы!$E$56:$F$56,MATCH(G23,Расходы!$E$55:$F$55,-1)))</f>
        <v>0.04</v>
      </c>
      <c r="H72" s="231">
        <f>IF(H23&gt;Расходы!$D$55,Расходы!$D$56,INDEX(Расходы!$E$56:$F$56,MATCH(H23,Расходы!$E$55:$F$55,-1)))</f>
        <v>0.06</v>
      </c>
      <c r="I72" s="231">
        <f>IF(I23&gt;Расходы!$D$55,Расходы!$D$56,INDEX(Расходы!$E$56:$F$56,MATCH(I23,Расходы!$E$55:$F$55,-1)))</f>
        <v>0.06</v>
      </c>
      <c r="J72" s="231">
        <f>IF(J23&gt;Расходы!$D$55,Расходы!$D$56,INDEX(Расходы!$E$56:$F$56,MATCH(J23,Расходы!$E$55:$F$55,-1)))</f>
        <v>0.06</v>
      </c>
      <c r="K72" s="231">
        <f>IF(K23&gt;Расходы!$D$55,Расходы!$D$56,INDEX(Расходы!$E$56:$F$56,MATCH(K23,Расходы!$E$55:$F$55,-1)))</f>
        <v>0.06</v>
      </c>
      <c r="L72" s="231">
        <f>IF(L23&gt;Расходы!$D$55,Расходы!$D$56,INDEX(Расходы!$E$56:$F$56,MATCH(L23,Расходы!$E$55:$F$55,-1)))</f>
        <v>0.06</v>
      </c>
      <c r="M72" s="231">
        <f>IF(M23&gt;Расходы!$D$55,Расходы!$D$56,INDEX(Расходы!$E$56:$F$56,MATCH(M23,Расходы!$E$55:$F$55,-1)))</f>
        <v>0.06</v>
      </c>
      <c r="N72" s="231">
        <f>IF(N23&gt;Расходы!$D$55,Расходы!$D$56,INDEX(Расходы!$E$56:$F$56,MATCH(N23,Расходы!$E$55:$F$55,-1)))</f>
        <v>0.06</v>
      </c>
      <c r="O72" s="231">
        <f>IF(O23&gt;Расходы!$D$55,Расходы!$D$56,INDEX(Расходы!$E$56:$F$56,MATCH(O23,Расходы!$E$55:$F$55,-1)))</f>
        <v>0.06</v>
      </c>
      <c r="P72" s="231">
        <f>IF(P23&gt;Расходы!$D$55,Расходы!$D$56,INDEX(Расходы!$E$56:$F$56,MATCH(P23,Расходы!$E$55:$F$55,-1)))</f>
        <v>0.06</v>
      </c>
      <c r="Q72" s="231">
        <f>IF(Q23&gt;Расходы!$D$55,Расходы!$D$56,INDEX(Расходы!$E$56:$F$56,MATCH(Q23,Расходы!$E$55:$F$55,-1)))</f>
        <v>0.06</v>
      </c>
      <c r="R72" s="204"/>
      <c r="S72" s="231">
        <f>IF(S23&gt;Расходы!$D$55,Расходы!$D$56,INDEX(Расходы!$E$56:$F$56,MATCH(S23,Расходы!$E$55:$F$55,-1)))</f>
        <v>0.06</v>
      </c>
      <c r="T72" s="231">
        <f>IF(T23&gt;Расходы!$D$55,Расходы!$D$56,INDEX(Расходы!$E$56:$F$56,MATCH(T23,Расходы!$E$55:$F$55,-1)))</f>
        <v>0.06</v>
      </c>
      <c r="U72" s="231">
        <f>IF(U23&gt;Расходы!$D$55,Расходы!$D$56,INDEX(Расходы!$E$56:$F$56,MATCH(U23,Расходы!$E$55:$F$55,-1)))</f>
        <v>0.06</v>
      </c>
      <c r="V72" s="231">
        <f>IF(V23&gt;Расходы!$D$55,Расходы!$D$56,INDEX(Расходы!$E$56:$F$56,MATCH(V23,Расходы!$E$55:$F$55,-1)))</f>
        <v>0.06</v>
      </c>
      <c r="W72" s="231">
        <f>IF(W23&gt;Расходы!$D$55,Расходы!$D$56,INDEX(Расходы!$E$56:$F$56,MATCH(W23,Расходы!$E$55:$F$55,-1)))</f>
        <v>0.06</v>
      </c>
      <c r="X72" s="231">
        <f>IF(X23&gt;Расходы!$D$55,Расходы!$D$56,INDEX(Расходы!$E$56:$F$56,MATCH(X23,Расходы!$E$55:$F$55,-1)))</f>
        <v>0.06</v>
      </c>
      <c r="Y72" s="231">
        <f>IF(Y23&gt;Расходы!$D$55,Расходы!$D$56,INDEX(Расходы!$E$56:$F$56,MATCH(Y23,Расходы!$E$55:$F$55,-1)))</f>
        <v>0.06</v>
      </c>
      <c r="Z72" s="231">
        <f>IF(Z23&gt;Расходы!$D$55,Расходы!$D$56,INDEX(Расходы!$E$56:$F$56,MATCH(Z23,Расходы!$E$55:$F$55,-1)))</f>
        <v>0.06</v>
      </c>
      <c r="AA72" s="231">
        <f>IF(AA23&gt;Расходы!$D$55,Расходы!$D$56,INDEX(Расходы!$E$56:$F$56,MATCH(AA23,Расходы!$E$55:$F$55,-1)))</f>
        <v>0.06</v>
      </c>
      <c r="AB72" s="231">
        <f>IF(AB23&gt;Расходы!$D$55,Расходы!$D$56,INDEX(Расходы!$E$56:$F$56,MATCH(AB23,Расходы!$E$55:$F$55,-1)))</f>
        <v>0.06</v>
      </c>
      <c r="AC72" s="231">
        <f>IF(AC23&gt;Расходы!$D$55,Расходы!$D$56,INDEX(Расходы!$E$56:$F$56,MATCH(AC23,Расходы!$E$55:$F$55,-1)))</f>
        <v>0.06</v>
      </c>
      <c r="AD72" s="231">
        <f>IF(AD23&gt;Расходы!$D$55,Расходы!$D$56,INDEX(Расходы!$E$56:$F$56,MATCH(AD23,Расходы!$E$55:$F$55,-1)))</f>
        <v>0.06</v>
      </c>
      <c r="AE72" s="204"/>
      <c r="AF72" s="204"/>
    </row>
    <row r="73" spans="1:46" x14ac:dyDescent="0.35">
      <c r="C73" s="215"/>
      <c r="D73" s="217"/>
      <c r="E73" s="233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4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4"/>
      <c r="AF73" s="204"/>
    </row>
    <row r="74" spans="1:46" ht="15" thickBot="1" x14ac:dyDescent="0.4">
      <c r="C74" s="234" t="s">
        <v>22</v>
      </c>
      <c r="D74" s="235"/>
      <c r="E74" s="236"/>
      <c r="F74" s="237">
        <f t="shared" ref="F74:Q74" si="130">F23-F30</f>
        <v>425807.35999999987</v>
      </c>
      <c r="G74" s="237">
        <f t="shared" si="130"/>
        <v>491579.59000000032</v>
      </c>
      <c r="H74" s="237">
        <f t="shared" si="130"/>
        <v>481791.8049999997</v>
      </c>
      <c r="I74" s="237">
        <f t="shared" si="130"/>
        <v>575899.04500000086</v>
      </c>
      <c r="J74" s="237">
        <f t="shared" si="130"/>
        <v>670006.28500000108</v>
      </c>
      <c r="K74" s="237">
        <f t="shared" si="130"/>
        <v>764113.5250000013</v>
      </c>
      <c r="L74" s="237">
        <f t="shared" si="130"/>
        <v>858220.76500000153</v>
      </c>
      <c r="M74" s="237">
        <f t="shared" si="130"/>
        <v>952328.06500000041</v>
      </c>
      <c r="N74" s="237">
        <f t="shared" si="130"/>
        <v>1046435.3050000006</v>
      </c>
      <c r="O74" s="237">
        <f t="shared" si="130"/>
        <v>1117015.6750000007</v>
      </c>
      <c r="P74" s="237">
        <f t="shared" si="130"/>
        <v>1140542.4850000013</v>
      </c>
      <c r="Q74" s="237">
        <f t="shared" si="130"/>
        <v>1187596.1050000004</v>
      </c>
      <c r="R74" s="238">
        <f>SUM(F74:Q74)</f>
        <v>9711336.0100000091</v>
      </c>
      <c r="S74" s="237">
        <f t="shared" ref="S74:AD74" si="131">S23-S30</f>
        <v>1538286.7348600011</v>
      </c>
      <c r="T74" s="237">
        <f t="shared" si="131"/>
        <v>1339579.2976000011</v>
      </c>
      <c r="U74" s="237">
        <f t="shared" si="131"/>
        <v>1162681.2132100007</v>
      </c>
      <c r="V74" s="237">
        <f t="shared" si="131"/>
        <v>1184490.5660800003</v>
      </c>
      <c r="W74" s="237">
        <f t="shared" si="131"/>
        <v>1206299.9189500008</v>
      </c>
      <c r="X74" s="237">
        <f t="shared" si="131"/>
        <v>1644910.237780001</v>
      </c>
      <c r="Y74" s="237">
        <f t="shared" si="131"/>
        <v>1671566.1135100005</v>
      </c>
      <c r="Z74" s="237">
        <f t="shared" si="131"/>
        <v>1484974.9834000012</v>
      </c>
      <c r="AA74" s="237">
        <f t="shared" si="131"/>
        <v>1698221.98924</v>
      </c>
      <c r="AB74" s="237">
        <f t="shared" si="131"/>
        <v>1293537.330430001</v>
      </c>
      <c r="AC74" s="237">
        <f t="shared" si="131"/>
        <v>1533440.2120000012</v>
      </c>
      <c r="AD74" s="237">
        <f t="shared" si="131"/>
        <v>1557672.8263000008</v>
      </c>
      <c r="AE74" s="238">
        <f>SUM(S74:AD74)</f>
        <v>17315661.423360009</v>
      </c>
      <c r="AF74" s="238">
        <f>SUM(AE74,R74)</f>
        <v>27026997.433360018</v>
      </c>
    </row>
    <row r="75" spans="1:46" s="31" customFormat="1" ht="12" x14ac:dyDescent="0.25">
      <c r="A75" s="118"/>
      <c r="C75" s="239" t="s">
        <v>140</v>
      </c>
      <c r="D75" s="240"/>
      <c r="E75" s="241"/>
      <c r="F75" s="242">
        <f t="shared" ref="F75:AF75" si="132">IF(F23=0,0,(IF(F74/F23&gt;0,F74/F23,0)))</f>
        <v>0.11270708311275804</v>
      </c>
      <c r="G75" s="242">
        <f t="shared" si="132"/>
        <v>0.11828759564945385</v>
      </c>
      <c r="H75" s="242">
        <f t="shared" si="132"/>
        <v>0.10627135278807122</v>
      </c>
      <c r="I75" s="242">
        <f t="shared" si="132"/>
        <v>0.11725761391863844</v>
      </c>
      <c r="J75" s="242">
        <f t="shared" si="132"/>
        <v>0.12667440917341016</v>
      </c>
      <c r="K75" s="242">
        <f t="shared" si="132"/>
        <v>0.13483563172754567</v>
      </c>
      <c r="L75" s="242">
        <f t="shared" si="132"/>
        <v>0.14197670146241423</v>
      </c>
      <c r="M75" s="242">
        <f t="shared" si="132"/>
        <v>0.14827765468813259</v>
      </c>
      <c r="N75" s="242">
        <f t="shared" si="132"/>
        <v>0.15387849317687205</v>
      </c>
      <c r="O75" s="242">
        <f t="shared" si="132"/>
        <v>0.15768705487912485</v>
      </c>
      <c r="P75" s="242">
        <f t="shared" si="132"/>
        <v>0.158889761360787</v>
      </c>
      <c r="Q75" s="242">
        <f t="shared" si="132"/>
        <v>0.16120265844090625</v>
      </c>
      <c r="R75" s="243">
        <f t="shared" si="132"/>
        <v>0.14027266366563956</v>
      </c>
      <c r="S75" s="244">
        <f t="shared" si="132"/>
        <v>0.17530389697553114</v>
      </c>
      <c r="T75" s="244">
        <f t="shared" si="132"/>
        <v>0.16792501192454001</v>
      </c>
      <c r="U75" s="244">
        <f t="shared" si="132"/>
        <v>0.15999295744536213</v>
      </c>
      <c r="V75" s="244">
        <f t="shared" si="132"/>
        <v>0.16105366923155351</v>
      </c>
      <c r="W75" s="244">
        <f t="shared" si="132"/>
        <v>0.16208942309336402</v>
      </c>
      <c r="X75" s="244">
        <f t="shared" si="132"/>
        <v>0.17873593653413158</v>
      </c>
      <c r="Y75" s="244">
        <f t="shared" si="132"/>
        <v>0.17954463551058339</v>
      </c>
      <c r="Z75" s="244">
        <f t="shared" si="132"/>
        <v>0.17345917571278335</v>
      </c>
      <c r="AA75" s="244">
        <f t="shared" si="132"/>
        <v>0.18033495496484309</v>
      </c>
      <c r="AB75" s="244">
        <f t="shared" si="132"/>
        <v>0.16599968486379452</v>
      </c>
      <c r="AC75" s="244">
        <f t="shared" si="132"/>
        <v>0.17513992175217577</v>
      </c>
      <c r="AD75" s="244">
        <f t="shared" si="132"/>
        <v>0.17595259016682699</v>
      </c>
      <c r="AE75" s="243">
        <f t="shared" si="132"/>
        <v>0.17193949034486278</v>
      </c>
      <c r="AF75" s="243">
        <f t="shared" si="132"/>
        <v>0.15903872249644624</v>
      </c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</row>
    <row r="76" spans="1:46" x14ac:dyDescent="0.35">
      <c r="C76" s="186"/>
      <c r="D76" s="226"/>
      <c r="E76" s="245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7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7"/>
      <c r="AF76" s="248"/>
    </row>
    <row r="77" spans="1:46" ht="15" thickBot="1" x14ac:dyDescent="0.4">
      <c r="C77" s="234" t="s">
        <v>8</v>
      </c>
      <c r="D77" s="234"/>
      <c r="E77" s="236"/>
      <c r="F77" s="237">
        <f t="shared" ref="F77:Q77" si="133">SUM(F78:F80)</f>
        <v>12500</v>
      </c>
      <c r="G77" s="237">
        <f t="shared" si="133"/>
        <v>12500</v>
      </c>
      <c r="H77" s="237">
        <f t="shared" si="133"/>
        <v>12500</v>
      </c>
      <c r="I77" s="237">
        <f t="shared" si="133"/>
        <v>12500</v>
      </c>
      <c r="J77" s="237">
        <f t="shared" si="133"/>
        <v>12500</v>
      </c>
      <c r="K77" s="237">
        <f t="shared" si="133"/>
        <v>12500</v>
      </c>
      <c r="L77" s="237">
        <f t="shared" si="133"/>
        <v>12500</v>
      </c>
      <c r="M77" s="237">
        <f t="shared" si="133"/>
        <v>12500</v>
      </c>
      <c r="N77" s="237">
        <f t="shared" si="133"/>
        <v>12500</v>
      </c>
      <c r="O77" s="237">
        <f t="shared" si="133"/>
        <v>12500</v>
      </c>
      <c r="P77" s="237">
        <f t="shared" si="133"/>
        <v>430692</v>
      </c>
      <c r="Q77" s="237">
        <f t="shared" si="133"/>
        <v>442026</v>
      </c>
      <c r="R77" s="238">
        <f>SUM(F77:Q77)</f>
        <v>997718</v>
      </c>
      <c r="S77" s="237">
        <f t="shared" ref="S77:AD77" si="134">SUM(S78:S80)</f>
        <v>334461.59999999998</v>
      </c>
      <c r="T77" s="237">
        <f t="shared" si="134"/>
        <v>304056</v>
      </c>
      <c r="U77" s="237">
        <f t="shared" si="134"/>
        <v>276987.59999999998</v>
      </c>
      <c r="V77" s="237">
        <f t="shared" si="134"/>
        <v>280324.8</v>
      </c>
      <c r="W77" s="237">
        <f t="shared" si="134"/>
        <v>283662</v>
      </c>
      <c r="X77" s="237">
        <f t="shared" si="134"/>
        <v>350776.80000000005</v>
      </c>
      <c r="Y77" s="237">
        <f t="shared" si="134"/>
        <v>354855.60000000003</v>
      </c>
      <c r="Z77" s="237">
        <f t="shared" si="134"/>
        <v>326304</v>
      </c>
      <c r="AA77" s="237">
        <f t="shared" si="134"/>
        <v>358934.4</v>
      </c>
      <c r="AB77" s="237">
        <f t="shared" si="134"/>
        <v>297010.8</v>
      </c>
      <c r="AC77" s="237">
        <f t="shared" si="134"/>
        <v>333720</v>
      </c>
      <c r="AD77" s="237">
        <f t="shared" si="134"/>
        <v>337428</v>
      </c>
      <c r="AE77" s="238">
        <f>SUM(S77:AD77)</f>
        <v>3838521.5999999996</v>
      </c>
      <c r="AF77" s="238">
        <f>SUM(AE77,R77)</f>
        <v>4836239.5999999996</v>
      </c>
    </row>
    <row r="78" spans="1:46" x14ac:dyDescent="0.35">
      <c r="C78" s="225" t="str">
        <f>Расходы!C49</f>
        <v>Патент</v>
      </c>
      <c r="D78" s="226"/>
      <c r="E78" s="249">
        <f>Расходы!E49</f>
        <v>150000</v>
      </c>
      <c r="F78" s="208">
        <f>$E$78/12</f>
        <v>12500</v>
      </c>
      <c r="G78" s="208">
        <f>IF(G79=0,$E$78/12,)</f>
        <v>12500</v>
      </c>
      <c r="H78" s="208">
        <f t="shared" ref="H78:Q78" si="135">IF(H79=0,$E$78/12,)</f>
        <v>12500</v>
      </c>
      <c r="I78" s="208">
        <f t="shared" si="135"/>
        <v>12500</v>
      </c>
      <c r="J78" s="208">
        <f t="shared" si="135"/>
        <v>12500</v>
      </c>
      <c r="K78" s="208">
        <f t="shared" si="135"/>
        <v>12500</v>
      </c>
      <c r="L78" s="208">
        <f t="shared" si="135"/>
        <v>12500</v>
      </c>
      <c r="M78" s="208">
        <f t="shared" si="135"/>
        <v>12500</v>
      </c>
      <c r="N78" s="208">
        <f t="shared" si="135"/>
        <v>12500</v>
      </c>
      <c r="O78" s="208">
        <f t="shared" si="135"/>
        <v>12500</v>
      </c>
      <c r="P78" s="208">
        <f t="shared" si="135"/>
        <v>0</v>
      </c>
      <c r="Q78" s="208">
        <f t="shared" si="135"/>
        <v>0</v>
      </c>
      <c r="R78" s="204">
        <f>SUM(F78:Q78)</f>
        <v>125000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4"/>
      <c r="AF78" s="204"/>
    </row>
    <row r="79" spans="1:46" x14ac:dyDescent="0.35">
      <c r="C79" s="225" t="str">
        <f>Расходы!C50</f>
        <v>УСН</v>
      </c>
      <c r="D79" s="250">
        <v>60000000</v>
      </c>
      <c r="E79" s="230">
        <f>Расходы!E50</f>
        <v>0.06</v>
      </c>
      <c r="F79" s="208">
        <f>IF(SUM(E23:F23)&gt;$D$79,F23*$E$79,0)</f>
        <v>0</v>
      </c>
      <c r="G79" s="208">
        <f>IF(SUM(F23:G23)&gt;$D$79,G23*$E$79,0)</f>
        <v>0</v>
      </c>
      <c r="H79" s="208">
        <f>IF(SUM(F23:H23)&gt;$D$79,H23*$E$79,0)</f>
        <v>0</v>
      </c>
      <c r="I79" s="208">
        <f>IF(SUM(F23:I23)&gt;$D$79,I23*$E$79,0)</f>
        <v>0</v>
      </c>
      <c r="J79" s="208">
        <f>IF(SUM(F23:J23)&gt;$D$79,J23*$E$79,0)</f>
        <v>0</v>
      </c>
      <c r="K79" s="208">
        <f>IF(SUM(F23:K23)&gt;$D$79,K23*$E$79,0)</f>
        <v>0</v>
      </c>
      <c r="L79" s="208">
        <f>IF(SUM(F23:L23)&gt;$D$79,L23*$E$79,0)</f>
        <v>0</v>
      </c>
      <c r="M79" s="208">
        <f>IF(SUM(F23:M23)&gt;$D$79,M23*$E$79,0)</f>
        <v>0</v>
      </c>
      <c r="N79" s="208">
        <f>IF(SUM(F23:N23)&gt;$D$79,N23*$E$79,0)</f>
        <v>0</v>
      </c>
      <c r="O79" s="208">
        <f>IF(SUM(F23:O23)&gt;$D$79,O23*$E$79,0)</f>
        <v>0</v>
      </c>
      <c r="P79" s="208">
        <f>IF(SUM(F23:P23)&gt;$D$79,P23*$E$79,0)</f>
        <v>430692</v>
      </c>
      <c r="Q79" s="208">
        <f>IF(SUM(F23:Q23)&gt;$D$79,Q23*$E$79,0)</f>
        <v>442026</v>
      </c>
      <c r="R79" s="204">
        <f>SUM(F79:Q79)</f>
        <v>872718</v>
      </c>
      <c r="S79" s="208">
        <f t="shared" ref="S79:AD79" si="136">$E$79*S28</f>
        <v>334461.59999999998</v>
      </c>
      <c r="T79" s="208">
        <f t="shared" si="136"/>
        <v>304056</v>
      </c>
      <c r="U79" s="208">
        <f t="shared" si="136"/>
        <v>276987.59999999998</v>
      </c>
      <c r="V79" s="208">
        <f t="shared" si="136"/>
        <v>280324.8</v>
      </c>
      <c r="W79" s="208">
        <f t="shared" si="136"/>
        <v>283662</v>
      </c>
      <c r="X79" s="208">
        <f t="shared" si="136"/>
        <v>350776.80000000005</v>
      </c>
      <c r="Y79" s="208">
        <f t="shared" si="136"/>
        <v>354855.60000000003</v>
      </c>
      <c r="Z79" s="208">
        <f t="shared" si="136"/>
        <v>326304</v>
      </c>
      <c r="AA79" s="208">
        <f t="shared" si="136"/>
        <v>358934.4</v>
      </c>
      <c r="AB79" s="208">
        <f t="shared" si="136"/>
        <v>297010.8</v>
      </c>
      <c r="AC79" s="208">
        <f t="shared" si="136"/>
        <v>333720</v>
      </c>
      <c r="AD79" s="208">
        <f t="shared" si="136"/>
        <v>337428</v>
      </c>
      <c r="AE79" s="204">
        <f>SUM(S79:AD79)</f>
        <v>3838521.5999999996</v>
      </c>
      <c r="AF79" s="204">
        <f>SUM(AE79,R79)</f>
        <v>4711239.5999999996</v>
      </c>
    </row>
    <row r="80" spans="1:46" x14ac:dyDescent="0.35">
      <c r="C80" s="225"/>
      <c r="D80" s="225"/>
      <c r="E80" s="251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4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4"/>
      <c r="AF80" s="204"/>
    </row>
    <row r="81" spans="1:46" ht="15" thickBot="1" x14ac:dyDescent="0.4">
      <c r="C81" s="190" t="s">
        <v>9</v>
      </c>
      <c r="D81" s="190"/>
      <c r="E81" s="191"/>
      <c r="F81" s="192">
        <f t="shared" ref="F81:Q81" si="137">F74-F77</f>
        <v>413307.35999999987</v>
      </c>
      <c r="G81" s="192">
        <f t="shared" si="137"/>
        <v>479079.59000000032</v>
      </c>
      <c r="H81" s="192">
        <f t="shared" si="137"/>
        <v>469291.8049999997</v>
      </c>
      <c r="I81" s="192">
        <f>I74-I77</f>
        <v>563399.04500000086</v>
      </c>
      <c r="J81" s="192">
        <f t="shared" si="137"/>
        <v>657506.28500000108</v>
      </c>
      <c r="K81" s="192">
        <f t="shared" si="137"/>
        <v>751613.5250000013</v>
      </c>
      <c r="L81" s="192">
        <f t="shared" si="137"/>
        <v>845720.76500000153</v>
      </c>
      <c r="M81" s="192">
        <f t="shared" si="137"/>
        <v>939828.06500000041</v>
      </c>
      <c r="N81" s="192">
        <f t="shared" si="137"/>
        <v>1033935.3050000006</v>
      </c>
      <c r="O81" s="192">
        <f t="shared" si="137"/>
        <v>1104515.6750000007</v>
      </c>
      <c r="P81" s="192">
        <f t="shared" si="137"/>
        <v>709850.48500000127</v>
      </c>
      <c r="Q81" s="192">
        <f t="shared" si="137"/>
        <v>745570.10500000045</v>
      </c>
      <c r="R81" s="193">
        <f>SUM(F81:Q81)</f>
        <v>8713618.0100000091</v>
      </c>
      <c r="S81" s="192">
        <f>S74-S77</f>
        <v>1203825.134860001</v>
      </c>
      <c r="T81" s="192">
        <f t="shared" ref="T81:AD81" si="138">T74-T77</f>
        <v>1035523.2976000011</v>
      </c>
      <c r="U81" s="192">
        <f t="shared" si="138"/>
        <v>885693.61321000068</v>
      </c>
      <c r="V81" s="192">
        <f t="shared" si="138"/>
        <v>904165.7660800002</v>
      </c>
      <c r="W81" s="192">
        <f t="shared" si="138"/>
        <v>922637.91895000078</v>
      </c>
      <c r="X81" s="192">
        <f t="shared" si="138"/>
        <v>1294133.437780001</v>
      </c>
      <c r="Y81" s="192">
        <f t="shared" si="138"/>
        <v>1316710.5135100004</v>
      </c>
      <c r="Z81" s="192">
        <f t="shared" si="138"/>
        <v>1158670.9834000012</v>
      </c>
      <c r="AA81" s="192">
        <f t="shared" si="138"/>
        <v>1339287.5892400001</v>
      </c>
      <c r="AB81" s="192">
        <f t="shared" si="138"/>
        <v>996526.53043000097</v>
      </c>
      <c r="AC81" s="192">
        <f t="shared" si="138"/>
        <v>1199720.2120000012</v>
      </c>
      <c r="AD81" s="192">
        <f t="shared" si="138"/>
        <v>1220244.8263000008</v>
      </c>
      <c r="AE81" s="193">
        <f>SUM(S81:AD81)</f>
        <v>13477139.823360009</v>
      </c>
      <c r="AF81" s="193">
        <f>SUM(AE81,R81)</f>
        <v>22190757.833360016</v>
      </c>
      <c r="AG81" s="177"/>
    </row>
    <row r="82" spans="1:46" s="79" customFormat="1" ht="12" x14ac:dyDescent="0.25">
      <c r="A82" s="178"/>
      <c r="C82" s="239" t="s">
        <v>70</v>
      </c>
      <c r="D82" s="252"/>
      <c r="E82" s="253"/>
      <c r="F82" s="254">
        <f t="shared" ref="F82:Q82" si="139">IF(F81/F23&gt;0,F81/F23,0)</f>
        <v>0.10939845420857593</v>
      </c>
      <c r="G82" s="254">
        <f t="shared" si="139"/>
        <v>0.11527975119110648</v>
      </c>
      <c r="H82" s="254">
        <f t="shared" si="139"/>
        <v>0.10351416203458613</v>
      </c>
      <c r="I82" s="244">
        <f t="shared" si="139"/>
        <v>0.11471251476157529</v>
      </c>
      <c r="J82" s="244">
        <f t="shared" si="139"/>
        <v>0.12431110281328009</v>
      </c>
      <c r="K82" s="244">
        <f t="shared" si="139"/>
        <v>0.1326298791247576</v>
      </c>
      <c r="L82" s="244">
        <f t="shared" si="139"/>
        <v>0.13990880839730041</v>
      </c>
      <c r="M82" s="244">
        <f t="shared" si="139"/>
        <v>0.1463314023915549</v>
      </c>
      <c r="N82" s="244">
        <f t="shared" si="139"/>
        <v>0.15204036600788198</v>
      </c>
      <c r="O82" s="244">
        <f t="shared" si="139"/>
        <v>0.1559224527968944</v>
      </c>
      <c r="P82" s="244">
        <f t="shared" si="139"/>
        <v>9.8889761360787004E-2</v>
      </c>
      <c r="Q82" s="244">
        <f t="shared" si="139"/>
        <v>0.10120265844090626</v>
      </c>
      <c r="R82" s="243">
        <f>R81/R23</f>
        <v>0.12586140641915547</v>
      </c>
      <c r="S82" s="244">
        <f t="shared" ref="S82:AD82" si="140">IF(S81/S23&gt;0,S81/S23,0)</f>
        <v>0.13718849199935323</v>
      </c>
      <c r="T82" s="244">
        <f t="shared" si="140"/>
        <v>0.12980960694836216</v>
      </c>
      <c r="U82" s="244">
        <f t="shared" si="140"/>
        <v>0.12187755246918425</v>
      </c>
      <c r="V82" s="244">
        <f t="shared" si="140"/>
        <v>0.12293826425537561</v>
      </c>
      <c r="W82" s="244">
        <f t="shared" si="140"/>
        <v>0.12397401811718614</v>
      </c>
      <c r="X82" s="244">
        <f t="shared" si="140"/>
        <v>0.1406205315579537</v>
      </c>
      <c r="Y82" s="244">
        <f t="shared" si="140"/>
        <v>0.14142923053440551</v>
      </c>
      <c r="Z82" s="244">
        <f t="shared" si="140"/>
        <v>0.13534377073660547</v>
      </c>
      <c r="AA82" s="244">
        <f t="shared" si="140"/>
        <v>0.14221954998866523</v>
      </c>
      <c r="AB82" s="244">
        <f t="shared" si="140"/>
        <v>0.12788427988761664</v>
      </c>
      <c r="AC82" s="244">
        <f t="shared" si="140"/>
        <v>0.13702451677599789</v>
      </c>
      <c r="AD82" s="244">
        <f t="shared" si="140"/>
        <v>0.13783718519064914</v>
      </c>
      <c r="AE82" s="243">
        <f>AE81/AE23</f>
        <v>0.13382408536868493</v>
      </c>
      <c r="AF82" s="255">
        <f>AF81/AF23</f>
        <v>0.1305801647314854</v>
      </c>
      <c r="AG82" s="179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</row>
    <row r="83" spans="1:46" s="31" customFormat="1" ht="12" x14ac:dyDescent="0.25">
      <c r="A83" s="118"/>
      <c r="B83" s="31" t="s">
        <v>31</v>
      </c>
      <c r="C83" s="256" t="s">
        <v>10</v>
      </c>
      <c r="D83" s="256"/>
      <c r="E83" s="257"/>
      <c r="F83" s="258">
        <f>F81</f>
        <v>413307.35999999987</v>
      </c>
      <c r="G83" s="258">
        <f>F83+G81</f>
        <v>892386.95000000019</v>
      </c>
      <c r="H83" s="258">
        <f t="shared" ref="H83:P83" si="141">G83+H81</f>
        <v>1361678.7549999999</v>
      </c>
      <c r="I83" s="258">
        <f t="shared" si="141"/>
        <v>1925077.8000000007</v>
      </c>
      <c r="J83" s="258">
        <f t="shared" si="141"/>
        <v>2582584.0850000018</v>
      </c>
      <c r="K83" s="258">
        <f t="shared" si="141"/>
        <v>3334197.6100000031</v>
      </c>
      <c r="L83" s="258">
        <f t="shared" si="141"/>
        <v>4179918.3750000047</v>
      </c>
      <c r="M83" s="258">
        <f t="shared" si="141"/>
        <v>5119746.4400000051</v>
      </c>
      <c r="N83" s="258">
        <f t="shared" si="141"/>
        <v>6153681.7450000057</v>
      </c>
      <c r="O83" s="258">
        <f t="shared" si="141"/>
        <v>7258197.4200000064</v>
      </c>
      <c r="P83" s="258">
        <f t="shared" si="141"/>
        <v>7968047.9050000077</v>
      </c>
      <c r="Q83" s="258">
        <f>P83+Q81</f>
        <v>8713618.0100000091</v>
      </c>
      <c r="R83" s="258">
        <f>+Q83</f>
        <v>8713618.0100000091</v>
      </c>
      <c r="S83" s="258">
        <f>R83+S81</f>
        <v>9917443.1448600106</v>
      </c>
      <c r="T83" s="258">
        <f>S83+T81</f>
        <v>10952966.442460012</v>
      </c>
      <c r="U83" s="258">
        <f t="shared" ref="U83" si="142">T83+U81</f>
        <v>11838660.055670012</v>
      </c>
      <c r="V83" s="258">
        <f t="shared" ref="V83" si="143">U83+V81</f>
        <v>12742825.821750011</v>
      </c>
      <c r="W83" s="258">
        <f t="shared" ref="W83" si="144">V83+W81</f>
        <v>13665463.740700012</v>
      </c>
      <c r="X83" s="258">
        <f t="shared" ref="X83" si="145">W83+X81</f>
        <v>14959597.178480012</v>
      </c>
      <c r="Y83" s="258">
        <f t="shared" ref="Y83" si="146">X83+Y81</f>
        <v>16276307.691990012</v>
      </c>
      <c r="Z83" s="258">
        <f t="shared" ref="Z83" si="147">Y83+Z81</f>
        <v>17434978.675390013</v>
      </c>
      <c r="AA83" s="258">
        <f t="shared" ref="AA83" si="148">Z83+AA81</f>
        <v>18774266.264630012</v>
      </c>
      <c r="AB83" s="258">
        <f t="shared" ref="AB83" si="149">AA83+AB81</f>
        <v>19770792.795060012</v>
      </c>
      <c r="AC83" s="258">
        <f t="shared" ref="AC83" si="150">AB83+AC81</f>
        <v>20970513.007060014</v>
      </c>
      <c r="AD83" s="258">
        <f>AC83+AD81</f>
        <v>22190757.833360016</v>
      </c>
      <c r="AE83" s="258">
        <f>+AD83</f>
        <v>22190757.833360016</v>
      </c>
      <c r="AF83" s="258">
        <f>AE83</f>
        <v>22190757.833360016</v>
      </c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  <c r="AT83" s="118"/>
    </row>
    <row r="84" spans="1:46" x14ac:dyDescent="0.35">
      <c r="C84" s="225"/>
      <c r="D84" s="225"/>
      <c r="E84" s="259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5"/>
      <c r="AE84" s="208"/>
      <c r="AF84" s="260"/>
    </row>
    <row r="85" spans="1:46" ht="15" thickBot="1" x14ac:dyDescent="0.4">
      <c r="C85" s="223"/>
      <c r="D85" s="223"/>
      <c r="E85" s="261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31"/>
      <c r="AH85" s="31"/>
    </row>
    <row r="86" spans="1:46" ht="15" thickBot="1" x14ac:dyDescent="0.4">
      <c r="C86" s="262" t="s">
        <v>11</v>
      </c>
      <c r="D86" s="263"/>
      <c r="E86" s="261"/>
      <c r="F86" s="264">
        <f>-Инвестиции!G59+E88+F81</f>
        <v>-12969442.640000001</v>
      </c>
      <c r="G86" s="208">
        <f>IF(OR((F86+G81)&gt;=0,F86=0),0,(F86+G81))</f>
        <v>-12490363.050000001</v>
      </c>
      <c r="H86" s="208">
        <f>IF(OR((G86+H81)&gt;=0,G86=0),0,(G86+H81))</f>
        <v>-12021071.245000001</v>
      </c>
      <c r="I86" s="208">
        <f t="shared" ref="I86:O86" si="151">IF(OR((H86+I81)&gt;=0,H86=0),0,(H86+I81))</f>
        <v>-11457672.199999999</v>
      </c>
      <c r="J86" s="208">
        <f>IF(OR((I86+J81)&gt;=0,I86=0),0,(I86+J81))</f>
        <v>-10800165.914999999</v>
      </c>
      <c r="K86" s="208">
        <f t="shared" si="151"/>
        <v>-10048552.389999997</v>
      </c>
      <c r="L86" s="208">
        <f t="shared" si="151"/>
        <v>-9202831.6249999963</v>
      </c>
      <c r="M86" s="208">
        <f t="shared" si="151"/>
        <v>-8263003.5599999959</v>
      </c>
      <c r="N86" s="208">
        <f t="shared" si="151"/>
        <v>-7229068.2549999952</v>
      </c>
      <c r="O86" s="208">
        <f t="shared" si="151"/>
        <v>-6124552.5799999945</v>
      </c>
      <c r="P86" s="208">
        <f>IF(OR((O86+P81)&gt;=0,O86=0),0,(O86+P81))</f>
        <v>-5414702.0949999932</v>
      </c>
      <c r="Q86" s="208">
        <f t="shared" ref="Q86" si="152">IF(OR((P86+Q81)&gt;=0,P86=0),0,(P86+Q81))</f>
        <v>-4669131.9899999928</v>
      </c>
      <c r="R86" s="208">
        <f>+Q86</f>
        <v>-4669131.9899999928</v>
      </c>
      <c r="S86" s="208">
        <f>IF(OR((R86+S81)&gt;=0,R86=0),0,(R86+S81))</f>
        <v>-3465306.8551399917</v>
      </c>
      <c r="T86" s="208">
        <f t="shared" ref="T86" si="153">IF(OR((S86+T81)&gt;=0,S86=0),0,(S86+T81))</f>
        <v>-2429783.5575399906</v>
      </c>
      <c r="U86" s="208">
        <f t="shared" ref="U86" si="154">IF(OR((T86+U81)&gt;=0,T86=0),0,(T86+U81))</f>
        <v>-1544089.9443299901</v>
      </c>
      <c r="V86" s="208">
        <f t="shared" ref="V86" si="155">IF(OR((U86+V81)&gt;=0,U86=0),0,(U86+V81))</f>
        <v>-639924.17824998987</v>
      </c>
      <c r="W86" s="208">
        <f t="shared" ref="W86" si="156">IF(OR((V86+W81)&gt;=0,V86=0),0,(V86+W81))</f>
        <v>0</v>
      </c>
      <c r="X86" s="208">
        <f t="shared" ref="X86" si="157">IF(OR((W86+X81)&gt;=0,W86=0),0,(W86+X81))</f>
        <v>0</v>
      </c>
      <c r="Y86" s="208">
        <f t="shared" ref="Y86" si="158">IF(OR((X86+Y81)&gt;=0,X86=0),0,(X86+Y81))</f>
        <v>0</v>
      </c>
      <c r="Z86" s="208">
        <f t="shared" ref="Z86" si="159">IF(OR((Y86+Z81)&gt;=0,Y86=0),0,(Y86+Z81))</f>
        <v>0</v>
      </c>
      <c r="AA86" s="208">
        <f t="shared" ref="AA86" si="160">IF(OR((Z86+AA81)&gt;=0,Z86=0),0,(Z86+AA81))</f>
        <v>0</v>
      </c>
      <c r="AB86" s="208">
        <f t="shared" ref="AB86" si="161">IF(OR((AA86+AB81)&gt;=0,AA86=0),0,(AA86+AB81))</f>
        <v>0</v>
      </c>
      <c r="AC86" s="208">
        <f t="shared" ref="AC86" si="162">IF(OR((AB86+AC81)&gt;=0,AB86=0),0,(AB86+AC81))</f>
        <v>0</v>
      </c>
      <c r="AD86" s="208">
        <f t="shared" ref="AD86" si="163">IF(OR((AC86+AD81)&gt;=0,AC86=0),0,(AC86+AD81))</f>
        <v>0</v>
      </c>
      <c r="AE86" s="208"/>
      <c r="AF86" s="208"/>
      <c r="AG86" s="31"/>
      <c r="AH86" s="31"/>
    </row>
    <row r="87" spans="1:46" ht="15" thickBot="1" x14ac:dyDescent="0.4">
      <c r="C87" s="265"/>
      <c r="D87" s="265"/>
      <c r="E87" s="261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31"/>
      <c r="AH87" s="31"/>
    </row>
    <row r="88" spans="1:46" ht="15" customHeight="1" thickBot="1" x14ac:dyDescent="0.4">
      <c r="C88" s="266" t="s">
        <v>29</v>
      </c>
      <c r="D88" s="267"/>
      <c r="E88" s="268">
        <f>SUM(E89:E89)</f>
        <v>1200000</v>
      </c>
      <c r="F88" s="269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31"/>
      <c r="AH88" s="31"/>
    </row>
    <row r="89" spans="1:46" ht="15" customHeight="1" x14ac:dyDescent="0.35">
      <c r="C89" s="270" t="str">
        <f>+Инвестиции!C35</f>
        <v>Первоначальная закупка продуктов и упаковки</v>
      </c>
      <c r="D89" s="271"/>
      <c r="E89" s="272">
        <f>+Инвестиции!G35</f>
        <v>1200000</v>
      </c>
      <c r="F89" s="269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31"/>
      <c r="AH89" s="31"/>
    </row>
    <row r="90" spans="1:46" x14ac:dyDescent="0.35">
      <c r="C90" s="260"/>
      <c r="D90" s="260"/>
      <c r="E90" s="260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</row>
    <row r="91" spans="1:46" x14ac:dyDescent="0.3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1:46" x14ac:dyDescent="0.35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1:46" hidden="1" x14ac:dyDescent="0.35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1:46" hidden="1" x14ac:dyDescent="0.35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1:46" hidden="1" x14ac:dyDescent="0.35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1:46" hidden="1" x14ac:dyDescent="0.35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3:32" hidden="1" x14ac:dyDescent="0.35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3:32" hidden="1" x14ac:dyDescent="0.35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3:32" hidden="1" x14ac:dyDescent="0.3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3:32" hidden="1" x14ac:dyDescent="0.35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3:32" hidden="1" x14ac:dyDescent="0.35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3:32" hidden="1" x14ac:dyDescent="0.35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3:32" hidden="1" x14ac:dyDescent="0.35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3:32" hidden="1" x14ac:dyDescent="0.35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spans="3:32" hidden="1" x14ac:dyDescent="0.3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3:32" hidden="1" x14ac:dyDescent="0.35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3:32" hidden="1" x14ac:dyDescent="0.35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3:32" hidden="1" x14ac:dyDescent="0.35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3:32" hidden="1" x14ac:dyDescent="0.35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3:32" hidden="1" x14ac:dyDescent="0.35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3:32" hidden="1" x14ac:dyDescent="0.35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3:32" hidden="1" x14ac:dyDescent="0.35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spans="3:32" hidden="1" x14ac:dyDescent="0.35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3:32" hidden="1" x14ac:dyDescent="0.35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3:32" hidden="1" x14ac:dyDescent="0.35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3:32" hidden="1" x14ac:dyDescent="0.35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3:32" hidden="1" x14ac:dyDescent="0.35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spans="3:32" hidden="1" x14ac:dyDescent="0.35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3:32" hidden="1" x14ac:dyDescent="0.35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3:32" hidden="1" x14ac:dyDescent="0.35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3:32" hidden="1" x14ac:dyDescent="0.35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3:32" hidden="1" x14ac:dyDescent="0.35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spans="3:32" hidden="1" x14ac:dyDescent="0.35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spans="3:32" hidden="1" x14ac:dyDescent="0.35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spans="3:32" hidden="1" x14ac:dyDescent="0.35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spans="3:32" hidden="1" x14ac:dyDescent="0.35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3:32" hidden="1" x14ac:dyDescent="0.35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spans="3:32" hidden="1" x14ac:dyDescent="0.3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3:32" hidden="1" x14ac:dyDescent="0.35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3:32" hidden="1" x14ac:dyDescent="0.35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3:32" hidden="1" x14ac:dyDescent="0.35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3:32" hidden="1" x14ac:dyDescent="0.35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spans="3:32" hidden="1" x14ac:dyDescent="0.35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spans="3:32" hidden="1" x14ac:dyDescent="0.35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spans="3:32" hidden="1" x14ac:dyDescent="0.35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spans="3:32" hidden="1" x14ac:dyDescent="0.35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spans="3:32" hidden="1" x14ac:dyDescent="0.35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spans="3:32" hidden="1" x14ac:dyDescent="0.35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spans="3:32" hidden="1" x14ac:dyDescent="0.35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spans="3:32" hidden="1" x14ac:dyDescent="0.35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3:32" hidden="1" x14ac:dyDescent="0.35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3:32" hidden="1" x14ac:dyDescent="0.35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3:32" hidden="1" x14ac:dyDescent="0.35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spans="3:32" hidden="1" x14ac:dyDescent="0.35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spans="3:32" hidden="1" x14ac:dyDescent="0.35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spans="3:32" hidden="1" x14ac:dyDescent="0.35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spans="3:32" hidden="1" x14ac:dyDescent="0.35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spans="3:32" hidden="1" x14ac:dyDescent="0.35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spans="3:32" hidden="1" x14ac:dyDescent="0.35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spans="3:32" hidden="1" x14ac:dyDescent="0.35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spans="3:32" hidden="1" x14ac:dyDescent="0.35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3:32" hidden="1" x14ac:dyDescent="0.35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3:32" hidden="1" x14ac:dyDescent="0.35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3:32" hidden="1" x14ac:dyDescent="0.35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</row>
    <row r="155" spans="3:32" hidden="1" x14ac:dyDescent="0.35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</row>
    <row r="156" spans="3:32" hidden="1" x14ac:dyDescent="0.35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</row>
    <row r="157" spans="3:32" hidden="1" x14ac:dyDescent="0.35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</row>
    <row r="158" spans="3:32" hidden="1" x14ac:dyDescent="0.35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</row>
    <row r="159" spans="3:32" hidden="1" x14ac:dyDescent="0.35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</row>
    <row r="160" spans="3:32" hidden="1" x14ac:dyDescent="0.35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</row>
    <row r="161" spans="3:32" hidden="1" x14ac:dyDescent="0.35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</row>
    <row r="162" spans="3:32" hidden="1" x14ac:dyDescent="0.35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</row>
    <row r="163" spans="3:32" hidden="1" x14ac:dyDescent="0.35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</row>
    <row r="164" spans="3:32" hidden="1" x14ac:dyDescent="0.35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</row>
    <row r="165" spans="3:32" hidden="1" x14ac:dyDescent="0.35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</row>
    <row r="166" spans="3:32" hidden="1" x14ac:dyDescent="0.35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</row>
    <row r="167" spans="3:32" hidden="1" x14ac:dyDescent="0.35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</row>
    <row r="168" spans="3:32" hidden="1" x14ac:dyDescent="0.35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</row>
    <row r="169" spans="3:32" hidden="1" x14ac:dyDescent="0.35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</row>
    <row r="170" spans="3:32" hidden="1" x14ac:dyDescent="0.35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</row>
    <row r="171" spans="3:32" hidden="1" x14ac:dyDescent="0.35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</row>
    <row r="172" spans="3:32" hidden="1" x14ac:dyDescent="0.35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</row>
    <row r="173" spans="3:32" hidden="1" x14ac:dyDescent="0.35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</row>
    <row r="174" spans="3:32" s="117" customFormat="1" x14ac:dyDescent="0.35"/>
    <row r="175" spans="3:32" s="117" customFormat="1" x14ac:dyDescent="0.35"/>
    <row r="176" spans="3:32" s="117" customFormat="1" x14ac:dyDescent="0.35"/>
    <row r="177" s="117" customFormat="1" x14ac:dyDescent="0.35"/>
    <row r="178" s="117" customFormat="1" x14ac:dyDescent="0.35"/>
    <row r="179" s="117" customFormat="1" x14ac:dyDescent="0.35"/>
    <row r="180" s="117" customFormat="1" x14ac:dyDescent="0.35"/>
    <row r="181" s="117" customFormat="1" x14ac:dyDescent="0.35"/>
    <row r="182" s="117" customFormat="1" x14ac:dyDescent="0.35"/>
    <row r="183" s="117" customFormat="1" x14ac:dyDescent="0.35"/>
    <row r="184" s="117" customFormat="1" x14ac:dyDescent="0.35"/>
    <row r="185" s="117" customFormat="1" x14ac:dyDescent="0.35"/>
    <row r="186" s="117" customFormat="1" hidden="1" x14ac:dyDescent="0.35"/>
    <row r="187" s="117" customFormat="1" hidden="1" x14ac:dyDescent="0.35"/>
    <row r="188" s="117" customFormat="1" hidden="1" x14ac:dyDescent="0.35"/>
    <row r="189" s="117" customFormat="1" hidden="1" x14ac:dyDescent="0.35"/>
    <row r="190" s="117" customFormat="1" hidden="1" x14ac:dyDescent="0.35"/>
    <row r="191" s="117" customFormat="1" hidden="1" x14ac:dyDescent="0.35"/>
    <row r="192" s="117" customFormat="1" hidden="1" x14ac:dyDescent="0.35"/>
    <row r="193" s="117" customFormat="1" hidden="1" x14ac:dyDescent="0.35"/>
    <row r="194" s="117" customFormat="1" hidden="1" x14ac:dyDescent="0.35"/>
    <row r="195" s="117" customFormat="1" hidden="1" x14ac:dyDescent="0.35"/>
    <row r="196" s="117" customFormat="1" hidden="1" x14ac:dyDescent="0.35"/>
    <row r="197" s="117" customFormat="1" hidden="1" x14ac:dyDescent="0.35"/>
    <row r="198" s="117" customFormat="1" hidden="1" x14ac:dyDescent="0.35"/>
    <row r="199" s="117" customFormat="1" hidden="1" x14ac:dyDescent="0.35"/>
    <row r="200" s="117" customFormat="1" hidden="1" x14ac:dyDescent="0.35"/>
    <row r="201" s="117" customFormat="1" hidden="1" x14ac:dyDescent="0.35"/>
    <row r="202" s="117" customFormat="1" hidden="1" x14ac:dyDescent="0.35"/>
    <row r="203" s="117" customFormat="1" hidden="1" x14ac:dyDescent="0.35"/>
    <row r="204" s="117" customFormat="1" hidden="1" x14ac:dyDescent="0.35"/>
    <row r="205" s="117" customFormat="1" hidden="1" x14ac:dyDescent="0.35"/>
    <row r="206" s="117" customFormat="1" hidden="1" x14ac:dyDescent="0.35"/>
    <row r="207" s="117" customFormat="1" hidden="1" x14ac:dyDescent="0.35"/>
    <row r="208" s="117" customFormat="1" hidden="1" x14ac:dyDescent="0.35"/>
    <row r="209" s="117" customFormat="1" hidden="1" x14ac:dyDescent="0.35"/>
    <row r="210" s="117" customFormat="1" hidden="1" x14ac:dyDescent="0.35"/>
    <row r="211" s="117" customFormat="1" hidden="1" x14ac:dyDescent="0.35"/>
    <row r="212" s="117" customFormat="1" hidden="1" x14ac:dyDescent="0.35"/>
    <row r="213" s="117" customFormat="1" hidden="1" x14ac:dyDescent="0.35"/>
    <row r="214" s="117" customFormat="1" hidden="1" x14ac:dyDescent="0.35"/>
    <row r="215" s="117" customFormat="1" hidden="1" x14ac:dyDescent="0.35"/>
    <row r="216" s="117" customFormat="1" hidden="1" x14ac:dyDescent="0.35"/>
    <row r="217" s="117" customFormat="1" hidden="1" x14ac:dyDescent="0.35"/>
    <row r="218" s="117" customFormat="1" hidden="1" x14ac:dyDescent="0.35"/>
    <row r="219" s="117" customFormat="1" hidden="1" x14ac:dyDescent="0.35"/>
    <row r="220" s="117" customFormat="1" hidden="1" x14ac:dyDescent="0.35"/>
    <row r="221" s="117" customFormat="1" hidden="1" x14ac:dyDescent="0.35"/>
    <row r="222" s="117" customFormat="1" hidden="1" x14ac:dyDescent="0.35"/>
    <row r="223" s="117" customFormat="1" hidden="1" x14ac:dyDescent="0.35"/>
    <row r="224" s="117" customFormat="1" hidden="1" x14ac:dyDescent="0.35"/>
    <row r="225" s="117" customFormat="1" hidden="1" x14ac:dyDescent="0.35"/>
    <row r="226" s="117" customFormat="1" hidden="1" x14ac:dyDescent="0.35"/>
    <row r="227" s="117" customFormat="1" hidden="1" x14ac:dyDescent="0.35"/>
  </sheetData>
  <mergeCells count="3">
    <mergeCell ref="C86:D86"/>
    <mergeCell ref="C88:D88"/>
    <mergeCell ref="C89:D89"/>
  </mergeCells>
  <phoneticPr fontId="3" type="noConversion"/>
  <conditionalFormatting sqref="F75:AF75 F82:AF82">
    <cfRule type="cellIs" dxfId="3" priority="8" operator="equal">
      <formula>0</formula>
    </cfRule>
    <cfRule type="cellIs" dxfId="2" priority="9" operator="lessThan">
      <formula>0</formula>
    </cfRule>
    <cfRule type="cellIs" dxfId="1" priority="10" operator="greaterThan">
      <formula>0</formula>
    </cfRule>
  </conditionalFormatting>
  <conditionalFormatting sqref="F86:AF86">
    <cfRule type="cellIs" dxfId="0" priority="1" operator="lessThan">
      <formula>0</formula>
    </cfRule>
  </conditionalFormatting>
  <dataValidations count="1">
    <dataValidation type="list" allowBlank="1" showInputMessage="1" showErrorMessage="1" prompt="Выбрать значение из выпадающего списка" sqref="D15" xr:uid="{0EE1D219-1205-4BC4-A19A-E1C8FAEBF6EA}">
      <formula1>"Да,Нет"</formula1>
    </dataValidation>
  </dataValidations>
  <pageMargins left="0.7" right="0.7" top="0.75" bottom="0.75" header="0.3" footer="0.3"/>
  <pageSetup paperSize="9" orientation="portrait" r:id="rId1"/>
  <ignoredErrors>
    <ignoredError sqref="R30 R38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рать месяц из выпадающего списка" xr:uid="{C94AF918-A2DF-4FC2-A004-21AC4B5DB712}">
          <x14:formula1>
            <xm:f>Выручка!$C$21:$N$21</xm:f>
          </x14:formula1>
          <xm:sqref>D14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Инвестиции</vt:lpstr>
      <vt:lpstr>Выручка</vt:lpstr>
      <vt:lpstr>Расходы</vt:lpstr>
      <vt:lpstr>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Mare</dc:creator>
  <cp:lastModifiedBy>N TRM</cp:lastModifiedBy>
  <dcterms:created xsi:type="dcterms:W3CDTF">2024-04-02T08:33:04Z</dcterms:created>
  <dcterms:modified xsi:type="dcterms:W3CDTF">2025-12-15T10:54:46Z</dcterms:modified>
</cp:coreProperties>
</file>